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User\Dropbox\00_C3-ACG\0000 YOCALCULO\"/>
    </mc:Choice>
  </mc:AlternateContent>
  <xr:revisionPtr revIDLastSave="0" documentId="13_ncr:1_{6BF8FC78-6726-442E-97B6-0D7B701FFF27}" xr6:coauthVersionLast="47" xr6:coauthVersionMax="47" xr10:uidLastSave="{00000000-0000-0000-0000-000000000000}"/>
  <bookViews>
    <workbookView xWindow="-120" yWindow="-120" windowWidth="29040" windowHeight="15720" xr2:uid="{4FCCE089-3D5E-491F-BDA9-7A0D987C5078}"/>
  </bookViews>
  <sheets>
    <sheet name="CE" sheetId="1" r:id="rId1"/>
    <sheet name="CE (2)" sheetId="4" r:id="rId2"/>
    <sheet name="EHE"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6" i="1" l="1"/>
  <c r="D12" i="1"/>
  <c r="C60" i="4"/>
  <c r="L60" i="4" s="1"/>
  <c r="N60" i="4" s="1"/>
  <c r="C57" i="4"/>
  <c r="L57" i="4" s="1"/>
  <c r="C54" i="4"/>
  <c r="L54" i="4" s="1"/>
  <c r="N54" i="4" s="1"/>
  <c r="C51" i="4"/>
  <c r="L51" i="4" s="1"/>
  <c r="C48" i="4"/>
  <c r="L48" i="4" s="1"/>
  <c r="N48" i="4" s="1"/>
  <c r="C45" i="4"/>
  <c r="L45" i="4" s="1"/>
  <c r="C42" i="4"/>
  <c r="L42" i="4" s="1"/>
  <c r="C39" i="4"/>
  <c r="L39" i="4" s="1"/>
  <c r="C38" i="4"/>
  <c r="L36" i="4"/>
  <c r="C36" i="4"/>
  <c r="B35" i="4"/>
  <c r="B38" i="4" s="1"/>
  <c r="B41" i="4" s="1"/>
  <c r="L33" i="4"/>
  <c r="G18" i="4"/>
  <c r="F18" i="4"/>
  <c r="D19" i="4" s="1"/>
  <c r="D18" i="4"/>
  <c r="D20" i="4" s="1"/>
  <c r="G16" i="4"/>
  <c r="A14" i="4"/>
  <c r="I11" i="4"/>
  <c r="B14" i="4" s="1"/>
  <c r="G11" i="4"/>
  <c r="H11" i="4" s="1"/>
  <c r="B8" i="4"/>
  <c r="B6" i="4"/>
  <c r="D5" i="4"/>
  <c r="B5" i="4"/>
  <c r="E42" i="4" l="1"/>
  <c r="E48" i="4"/>
  <c r="E54" i="4"/>
  <c r="E60" i="4"/>
  <c r="H56" i="4"/>
  <c r="H50" i="4"/>
  <c r="K61" i="4"/>
  <c r="K55" i="4"/>
  <c r="K49" i="4"/>
  <c r="R46" i="4"/>
  <c r="J40" i="4"/>
  <c r="K52" i="4"/>
  <c r="S45" i="4"/>
  <c r="J43" i="4"/>
  <c r="K60" i="4"/>
  <c r="J58" i="4"/>
  <c r="J52" i="4"/>
  <c r="J61" i="4"/>
  <c r="J55" i="4"/>
  <c r="J49" i="4"/>
  <c r="K46" i="4"/>
  <c r="K43" i="4"/>
  <c r="K37" i="4"/>
  <c r="K58" i="4"/>
  <c r="J46" i="4"/>
  <c r="I46" i="4" s="1"/>
  <c r="J37" i="4"/>
  <c r="K54" i="4"/>
  <c r="K48" i="4"/>
  <c r="R45" i="4"/>
  <c r="N51" i="4"/>
  <c r="K51" i="4" s="1"/>
  <c r="N57" i="4"/>
  <c r="K57" i="4" s="1"/>
  <c r="B44" i="4"/>
  <c r="C41" i="4"/>
  <c r="J41" i="4" s="1"/>
  <c r="H44" i="4"/>
  <c r="N36" i="4"/>
  <c r="K36" i="4" s="1"/>
  <c r="N39" i="4"/>
  <c r="K39" i="4" s="1"/>
  <c r="O38" i="4"/>
  <c r="E39" i="4"/>
  <c r="N42" i="4"/>
  <c r="K42" i="4" s="1"/>
  <c r="K41" i="4" s="1"/>
  <c r="O41" i="4"/>
  <c r="N45" i="4"/>
  <c r="K45" i="4" s="1"/>
  <c r="E45" i="4"/>
  <c r="S46" i="4"/>
  <c r="J38" i="4"/>
  <c r="H45" i="4"/>
  <c r="H39" i="4"/>
  <c r="H42" i="4"/>
  <c r="H57" i="4"/>
  <c r="H51" i="4"/>
  <c r="H60" i="4"/>
  <c r="H54" i="4"/>
  <c r="H48" i="4"/>
  <c r="H36" i="4"/>
  <c r="K40" i="4"/>
  <c r="E47" i="4"/>
  <c r="E41" i="4"/>
  <c r="E35" i="4"/>
  <c r="E38" i="4"/>
  <c r="H16" i="4"/>
  <c r="D21" i="4" s="1"/>
  <c r="E59" i="4"/>
  <c r="E53" i="4"/>
  <c r="E56" i="4"/>
  <c r="E50" i="4"/>
  <c r="R47" i="4"/>
  <c r="E44" i="4"/>
  <c r="I39" i="4"/>
  <c r="H35" i="4"/>
  <c r="C35" i="4"/>
  <c r="J35" i="4" s="1"/>
  <c r="I42" i="4"/>
  <c r="E51" i="4"/>
  <c r="H53" i="4"/>
  <c r="E57" i="4"/>
  <c r="H59" i="4"/>
  <c r="H41" i="4"/>
  <c r="H47" i="4"/>
  <c r="E36" i="4"/>
  <c r="H38" i="4"/>
  <c r="D5" i="1"/>
  <c r="G11" i="1"/>
  <c r="I11" i="1"/>
  <c r="C36" i="1"/>
  <c r="F19" i="1"/>
  <c r="G17" i="1"/>
  <c r="L34" i="1"/>
  <c r="B6" i="1"/>
  <c r="C61" i="1"/>
  <c r="L61" i="1" s="1"/>
  <c r="C58" i="1"/>
  <c r="L58" i="1" s="1"/>
  <c r="C55" i="1"/>
  <c r="L55" i="1" s="1"/>
  <c r="N54" i="1" s="1"/>
  <c r="C52" i="1"/>
  <c r="L52" i="1" s="1"/>
  <c r="C49" i="1"/>
  <c r="L49" i="1" s="1"/>
  <c r="C46" i="1"/>
  <c r="L46" i="1" s="1"/>
  <c r="C43" i="1"/>
  <c r="L43" i="1" s="1"/>
  <c r="N42" i="1" s="1"/>
  <c r="C40" i="1"/>
  <c r="L40" i="1" s="1"/>
  <c r="N40" i="1" s="1"/>
  <c r="C37" i="1"/>
  <c r="L37" i="1" s="1"/>
  <c r="G9" i="2"/>
  <c r="Q7" i="2"/>
  <c r="R7" i="2" s="1"/>
  <c r="T7" i="2" s="1"/>
  <c r="L20" i="2" s="1"/>
  <c r="Q6" i="2"/>
  <c r="R6" i="2" s="1"/>
  <c r="S6" i="2" s="1"/>
  <c r="F29" i="2"/>
  <c r="H29" i="2"/>
  <c r="H28" i="2"/>
  <c r="D7" i="2"/>
  <c r="C7" i="2"/>
  <c r="D6" i="2"/>
  <c r="C6" i="2"/>
  <c r="B8" i="2"/>
  <c r="D12" i="2" s="1"/>
  <c r="B5" i="2"/>
  <c r="H10" i="2"/>
  <c r="B8" i="1"/>
  <c r="D19" i="1"/>
  <c r="D21" i="1" s="1"/>
  <c r="G19" i="1"/>
  <c r="E37" i="4" l="1"/>
  <c r="I36" i="4"/>
  <c r="K35" i="4"/>
  <c r="H17" i="1"/>
  <c r="D22" i="1" s="1"/>
  <c r="J36" i="1"/>
  <c r="N46" i="1"/>
  <c r="N47" i="1" s="1"/>
  <c r="N58" i="1"/>
  <c r="N36" i="1"/>
  <c r="N49" i="1"/>
  <c r="N50" i="1" s="1"/>
  <c r="N61" i="1"/>
  <c r="N60" i="1"/>
  <c r="N62" i="1" s="1"/>
  <c r="N57" i="1"/>
  <c r="N59" i="1" s="1"/>
  <c r="N41" i="1"/>
  <c r="N39" i="1"/>
  <c r="N51" i="1"/>
  <c r="N53" i="1" s="1"/>
  <c r="N52" i="1"/>
  <c r="N45" i="1"/>
  <c r="N43" i="1"/>
  <c r="N44" i="1" s="1"/>
  <c r="N56" i="1"/>
  <c r="N55" i="1"/>
  <c r="K44" i="1"/>
  <c r="K62" i="1"/>
  <c r="K56" i="1"/>
  <c r="K50" i="1"/>
  <c r="K47" i="1"/>
  <c r="K41" i="1"/>
  <c r="K59" i="1"/>
  <c r="K53" i="1"/>
  <c r="N37" i="1"/>
  <c r="N38" i="1" s="1"/>
  <c r="N48" i="1"/>
  <c r="I49" i="4"/>
  <c r="F37" i="4" s="1"/>
  <c r="K47" i="4"/>
  <c r="K44" i="4"/>
  <c r="I61" i="4"/>
  <c r="K56" i="4"/>
  <c r="I40" i="4"/>
  <c r="K50" i="4"/>
  <c r="I37" i="4"/>
  <c r="I43" i="4"/>
  <c r="K38" i="4"/>
  <c r="I38" i="4" s="1"/>
  <c r="I52" i="4"/>
  <c r="E40" i="4"/>
  <c r="E61" i="4"/>
  <c r="E46" i="4"/>
  <c r="E49" i="4"/>
  <c r="I41" i="4"/>
  <c r="E43" i="4"/>
  <c r="I35" i="4"/>
  <c r="O35" i="4"/>
  <c r="B47" i="4"/>
  <c r="C44" i="4"/>
  <c r="I55" i="4"/>
  <c r="I58" i="4"/>
  <c r="E52" i="4"/>
  <c r="F52" i="4" s="1"/>
  <c r="E55" i="4"/>
  <c r="K53" i="4"/>
  <c r="K59" i="4"/>
  <c r="E58" i="4"/>
  <c r="B39" i="1"/>
  <c r="D20" i="1"/>
  <c r="E54" i="1"/>
  <c r="K38" i="1"/>
  <c r="E51" i="1"/>
  <c r="E45" i="1"/>
  <c r="E57" i="1"/>
  <c r="E36" i="1"/>
  <c r="E48" i="1"/>
  <c r="E60" i="1"/>
  <c r="E42" i="1"/>
  <c r="O36" i="1"/>
  <c r="E39" i="1"/>
  <c r="F30" i="2"/>
  <c r="H11" i="2"/>
  <c r="H12" i="2" s="1"/>
  <c r="F28" i="2"/>
  <c r="D10" i="2"/>
  <c r="L19" i="2"/>
  <c r="L21" i="2" s="1"/>
  <c r="S7" i="2"/>
  <c r="T6" i="2"/>
  <c r="B11" i="2"/>
  <c r="F21" i="2"/>
  <c r="H21" i="2" s="1"/>
  <c r="A15" i="1"/>
  <c r="H11" i="1"/>
  <c r="B5" i="1"/>
  <c r="H60" i="1" l="1"/>
  <c r="F49" i="4"/>
  <c r="F40" i="4"/>
  <c r="F61" i="4"/>
  <c r="J59" i="1"/>
  <c r="I59" i="1" s="1"/>
  <c r="J47" i="1"/>
  <c r="I47" i="1" s="1"/>
  <c r="J56" i="1"/>
  <c r="I56" i="1" s="1"/>
  <c r="J44" i="1"/>
  <c r="I44" i="1" s="1"/>
  <c r="I37" i="1"/>
  <c r="I40" i="1"/>
  <c r="K49" i="1"/>
  <c r="K48" i="1" s="1"/>
  <c r="K58" i="1"/>
  <c r="K57" i="1" s="1"/>
  <c r="K46" i="1"/>
  <c r="K45" i="1" s="1"/>
  <c r="K61" i="1"/>
  <c r="K60" i="1" s="1"/>
  <c r="J41" i="1"/>
  <c r="I41" i="1" s="1"/>
  <c r="J50" i="1"/>
  <c r="I50" i="1" s="1"/>
  <c r="J62" i="1"/>
  <c r="I62" i="1" s="1"/>
  <c r="J53" i="1"/>
  <c r="I53" i="1" s="1"/>
  <c r="K43" i="1"/>
  <c r="K42" i="1" s="1"/>
  <c r="K52" i="1"/>
  <c r="K51" i="1" s="1"/>
  <c r="K40" i="1"/>
  <c r="K39" i="1" s="1"/>
  <c r="K55" i="1"/>
  <c r="K54" i="1" s="1"/>
  <c r="H39" i="1"/>
  <c r="H45" i="1"/>
  <c r="H51" i="1"/>
  <c r="H57" i="1"/>
  <c r="H42" i="1"/>
  <c r="H48" i="1"/>
  <c r="H54" i="1"/>
  <c r="F58" i="4"/>
  <c r="F55" i="4"/>
  <c r="F43" i="4"/>
  <c r="F46" i="4"/>
  <c r="J44" i="4"/>
  <c r="I44" i="4" s="1"/>
  <c r="I45" i="4"/>
  <c r="O44" i="4"/>
  <c r="B50" i="4"/>
  <c r="C47" i="4"/>
  <c r="K37" i="1"/>
  <c r="H36" i="1"/>
  <c r="E37" i="1"/>
  <c r="C39" i="1"/>
  <c r="J39" i="1" s="1"/>
  <c r="B42" i="1"/>
  <c r="E46" i="1"/>
  <c r="E52" i="1"/>
  <c r="E55" i="1"/>
  <c r="E61" i="1"/>
  <c r="E40" i="1"/>
  <c r="E43" i="1"/>
  <c r="E49" i="1"/>
  <c r="E58" i="1"/>
  <c r="J38" i="1"/>
  <c r="I38" i="1" s="1"/>
  <c r="H9" i="2"/>
  <c r="B15" i="2" s="1"/>
  <c r="D11" i="2"/>
  <c r="H30" i="2"/>
  <c r="F23" i="2"/>
  <c r="B15" i="1"/>
  <c r="B19" i="2" l="1"/>
  <c r="A20" i="2" s="1"/>
  <c r="K36" i="1"/>
  <c r="I36" i="1" s="1"/>
  <c r="I39" i="1"/>
  <c r="B53" i="4"/>
  <c r="C50" i="4"/>
  <c r="J47" i="4"/>
  <c r="I47" i="4" s="1"/>
  <c r="O47" i="4"/>
  <c r="I48" i="4"/>
  <c r="C42" i="1"/>
  <c r="J42" i="1" s="1"/>
  <c r="B45" i="1"/>
  <c r="O39" i="1"/>
  <c r="H58" i="1"/>
  <c r="E59" i="1" s="1"/>
  <c r="F59" i="1" s="1"/>
  <c r="H52" i="1"/>
  <c r="E53" i="1" s="1"/>
  <c r="F53" i="1" s="1"/>
  <c r="H46" i="1"/>
  <c r="E47" i="1" s="1"/>
  <c r="F47" i="1" s="1"/>
  <c r="H40" i="1"/>
  <c r="E41" i="1" s="1"/>
  <c r="F41" i="1" s="1"/>
  <c r="H61" i="1"/>
  <c r="E62" i="1" s="1"/>
  <c r="F62" i="1" s="1"/>
  <c r="H55" i="1"/>
  <c r="E56" i="1" s="1"/>
  <c r="F56" i="1" s="1"/>
  <c r="H49" i="1"/>
  <c r="E50" i="1" s="1"/>
  <c r="F50" i="1" s="1"/>
  <c r="H43" i="1"/>
  <c r="E44" i="1" s="1"/>
  <c r="F44" i="1" s="1"/>
  <c r="H37" i="1"/>
  <c r="E38" i="1" s="1"/>
  <c r="F38" i="1" s="1"/>
  <c r="L18" i="2"/>
  <c r="F19" i="2" s="1"/>
  <c r="C15" i="2"/>
  <c r="F22" i="2"/>
  <c r="I42" i="1" l="1"/>
  <c r="I43" i="1"/>
  <c r="F44" i="4"/>
  <c r="F47" i="4"/>
  <c r="F38" i="4"/>
  <c r="F50" i="4"/>
  <c r="F53" i="4"/>
  <c r="F35" i="4"/>
  <c r="F59" i="4"/>
  <c r="F56" i="4"/>
  <c r="F41" i="4"/>
  <c r="J50" i="4"/>
  <c r="I50" i="4" s="1"/>
  <c r="O50" i="4"/>
  <c r="I51" i="4"/>
  <c r="F42" i="4"/>
  <c r="F48" i="4"/>
  <c r="F60" i="4"/>
  <c r="F54" i="4"/>
  <c r="F36" i="4"/>
  <c r="F45" i="4"/>
  <c r="F51" i="4"/>
  <c r="F57" i="4"/>
  <c r="F39" i="4"/>
  <c r="C53" i="4"/>
  <c r="B56" i="4"/>
  <c r="B48" i="1"/>
  <c r="C45" i="1"/>
  <c r="J45" i="1" s="1"/>
  <c r="O42" i="1"/>
  <c r="H31" i="2"/>
  <c r="E33" i="2" s="1"/>
  <c r="E31" i="2"/>
  <c r="H23" i="2"/>
  <c r="H24" i="2" s="1"/>
  <c r="E26" i="2" s="1"/>
  <c r="I45" i="1" l="1"/>
  <c r="I46" i="1"/>
  <c r="B59" i="4"/>
  <c r="C59" i="4" s="1"/>
  <c r="C56" i="4"/>
  <c r="J53" i="4"/>
  <c r="I53" i="4" s="1"/>
  <c r="I54" i="4"/>
  <c r="O53" i="4"/>
  <c r="O45" i="1"/>
  <c r="C48" i="1"/>
  <c r="J48" i="1" s="1"/>
  <c r="B51" i="1"/>
  <c r="I48" i="1" l="1"/>
  <c r="I49" i="1"/>
  <c r="J56" i="4"/>
  <c r="I56" i="4" s="1"/>
  <c r="O56" i="4"/>
  <c r="I57" i="4"/>
  <c r="J59" i="4"/>
  <c r="I59" i="4" s="1"/>
  <c r="O59" i="4"/>
  <c r="I60" i="4"/>
  <c r="B54" i="1"/>
  <c r="C51" i="1"/>
  <c r="J51" i="1" s="1"/>
  <c r="O48" i="1"/>
  <c r="I51" i="1" l="1"/>
  <c r="I52" i="1"/>
  <c r="F46" i="1"/>
  <c r="F37" i="1"/>
  <c r="F55" i="1"/>
  <c r="F58" i="1"/>
  <c r="F52" i="1"/>
  <c r="F49" i="1"/>
  <c r="F61" i="1"/>
  <c r="F40" i="1"/>
  <c r="F43" i="1"/>
  <c r="F57" i="1"/>
  <c r="F51" i="1"/>
  <c r="F45" i="1"/>
  <c r="F39" i="1"/>
  <c r="F60" i="1"/>
  <c r="F54" i="1"/>
  <c r="F48" i="1"/>
  <c r="F42" i="1"/>
  <c r="F36" i="1"/>
  <c r="O51" i="1"/>
  <c r="B57" i="1"/>
  <c r="C54" i="1"/>
  <c r="J54" i="1" s="1"/>
  <c r="I54" i="1" l="1"/>
  <c r="I55" i="1"/>
  <c r="O54" i="1"/>
  <c r="C57" i="1"/>
  <c r="J57" i="1" s="1"/>
  <c r="B60" i="1"/>
  <c r="C60" i="1" s="1"/>
  <c r="J60" i="1" s="1"/>
  <c r="I60" i="1" l="1"/>
  <c r="I61" i="1"/>
  <c r="I57" i="1"/>
  <c r="I58" i="1"/>
  <c r="O60" i="1"/>
  <c r="O57" i="1"/>
</calcChain>
</file>

<file path=xl/sharedStrings.xml><?xml version="1.0" encoding="utf-8"?>
<sst xmlns="http://schemas.openxmlformats.org/spreadsheetml/2006/main" count="312" uniqueCount="119">
  <si>
    <t>fck (Mpa)</t>
  </si>
  <si>
    <t>γc</t>
  </si>
  <si>
    <t>fcd (Mpa)</t>
  </si>
  <si>
    <t>fyk (Mpa)</t>
  </si>
  <si>
    <t>γs</t>
  </si>
  <si>
    <t>fyd (Mpa)</t>
  </si>
  <si>
    <t>MATERIALES</t>
  </si>
  <si>
    <t>SECCIÓN</t>
  </si>
  <si>
    <t>b (mm)</t>
  </si>
  <si>
    <t>d (mm)</t>
  </si>
  <si>
    <t>bw (mm)</t>
  </si>
  <si>
    <t>ELEMENTOS SIN ARMADURA DE CORTANTE</t>
  </si>
  <si>
    <t>n</t>
  </si>
  <si>
    <t>φ</t>
  </si>
  <si>
    <t>Asl (mm2)</t>
  </si>
  <si>
    <t>ρl</t>
  </si>
  <si>
    <t>k</t>
  </si>
  <si>
    <t>CRd,c</t>
  </si>
  <si>
    <t>vmin</t>
  </si>
  <si>
    <t>VRd,c (kN)</t>
  </si>
  <si>
    <t>ELEMENTOS CON ARMADURA DE CORTANTE</t>
  </si>
  <si>
    <t>ρw,MIN</t>
  </si>
  <si>
    <t>SMAX</t>
  </si>
  <si>
    <t>α</t>
  </si>
  <si>
    <t>θ</t>
  </si>
  <si>
    <t>STMAX</t>
  </si>
  <si>
    <t>RAMAS EN LA VIGA</t>
  </si>
  <si>
    <t>S</t>
  </si>
  <si>
    <t>ρw</t>
  </si>
  <si>
    <t>Asw</t>
  </si>
  <si>
    <t>αcw</t>
  </si>
  <si>
    <t>ν1</t>
  </si>
  <si>
    <t>límite máximo</t>
  </si>
  <si>
    <t>VRd,max (kN)</t>
  </si>
  <si>
    <t>VRd,s (kN)</t>
  </si>
  <si>
    <t>COT</t>
  </si>
  <si>
    <t>GRADOS</t>
  </si>
  <si>
    <t>RADIANES</t>
  </si>
  <si>
    <t>TAN</t>
  </si>
  <si>
    <t>OFICINA MADRID
C/ SAN BERNARDO 12 - 2º DCHA
28015 MADRID
T. 91 521 33 43</t>
  </si>
  <si>
    <t>OFICINA CANTABRIA
C/ EL CRUCERO 11.6
39710 SOLARES
T. 942 52 06 91</t>
  </si>
  <si>
    <t>ESTADO LÍMITE DE AGOTAMIENTO FRENTE A CORTANTE (EHE-08 Art 44º)</t>
  </si>
  <si>
    <t>DATOS DE LA SECCIÓN COMPROBADA</t>
  </si>
  <si>
    <t>ARMADURA TRACCIONADA</t>
  </si>
  <si>
    <t>SOLICITACIONES</t>
  </si>
  <si>
    <t>f</t>
  </si>
  <si>
    <t>CORTANTE EN CARA DEL PILAR (KN)</t>
  </si>
  <si>
    <t>h (mm)</t>
  </si>
  <si>
    <t>CORTANTE A DISTANCIA d DEL PILAR (KN)</t>
  </si>
  <si>
    <r>
      <t>d</t>
    </r>
    <r>
      <rPr>
        <vertAlign val="subscript"/>
        <sz val="10"/>
        <rFont val="Arial"/>
        <family val="2"/>
      </rPr>
      <t>1</t>
    </r>
    <r>
      <rPr>
        <sz val="11"/>
        <color theme="1"/>
        <rFont val="Calibri"/>
        <family val="2"/>
        <scheme val="minor"/>
      </rPr>
      <t xml:space="preserve"> (mm)</t>
    </r>
  </si>
  <si>
    <r>
      <t>f</t>
    </r>
    <r>
      <rPr>
        <vertAlign val="subscript"/>
        <sz val="10"/>
        <rFont val="Arial"/>
        <family val="2"/>
      </rPr>
      <t>k</t>
    </r>
    <r>
      <rPr>
        <sz val="10"/>
        <rFont val="Arial"/>
        <family val="2"/>
      </rPr>
      <t xml:space="preserve"> (N/mm</t>
    </r>
    <r>
      <rPr>
        <vertAlign val="superscript"/>
        <sz val="10"/>
        <rFont val="Arial"/>
        <family val="2"/>
      </rPr>
      <t>2</t>
    </r>
    <r>
      <rPr>
        <sz val="10"/>
        <rFont val="Arial"/>
        <family val="2"/>
      </rPr>
      <t>)</t>
    </r>
  </si>
  <si>
    <t>g</t>
  </si>
  <si>
    <r>
      <t>f</t>
    </r>
    <r>
      <rPr>
        <vertAlign val="subscript"/>
        <sz val="10"/>
        <rFont val="Arial"/>
        <family val="2"/>
      </rPr>
      <t>d</t>
    </r>
    <r>
      <rPr>
        <sz val="10"/>
        <rFont val="Arial"/>
        <family val="2"/>
      </rPr>
      <t xml:space="preserve"> (N/mm</t>
    </r>
    <r>
      <rPr>
        <vertAlign val="superscript"/>
        <sz val="10"/>
        <rFont val="Arial"/>
        <family val="2"/>
      </rPr>
      <t>2</t>
    </r>
    <r>
      <rPr>
        <sz val="10"/>
        <rFont val="Arial"/>
        <family val="2"/>
      </rPr>
      <t>)</t>
    </r>
  </si>
  <si>
    <t>Recubrimiento lateral</t>
  </si>
  <si>
    <r>
      <t>A (mm</t>
    </r>
    <r>
      <rPr>
        <vertAlign val="superscript"/>
        <sz val="10"/>
        <rFont val="Arial"/>
        <family val="2"/>
      </rPr>
      <t>2</t>
    </r>
    <r>
      <rPr>
        <sz val="11"/>
        <color theme="1"/>
        <rFont val="Calibri"/>
        <family val="2"/>
        <scheme val="minor"/>
      </rPr>
      <t>)</t>
    </r>
  </si>
  <si>
    <t>Hormigón</t>
  </si>
  <si>
    <t>Ancho del pilar (mm)</t>
  </si>
  <si>
    <r>
      <t>A</t>
    </r>
    <r>
      <rPr>
        <vertAlign val="subscript"/>
        <sz val="10"/>
        <rFont val="Arial"/>
        <family val="2"/>
      </rPr>
      <t xml:space="preserve">1 </t>
    </r>
    <r>
      <rPr>
        <sz val="10"/>
        <rFont val="Arial"/>
        <family val="2"/>
      </rPr>
      <t>(mm2)</t>
    </r>
  </si>
  <si>
    <r>
      <t>f</t>
    </r>
    <r>
      <rPr>
        <vertAlign val="subscript"/>
        <sz val="10"/>
        <rFont val="Arial"/>
        <family val="2"/>
      </rPr>
      <t xml:space="preserve">ct,m </t>
    </r>
    <r>
      <rPr>
        <sz val="10"/>
        <rFont val="Arial"/>
        <family val="2"/>
      </rPr>
      <t>(N/mm2)</t>
    </r>
  </si>
  <si>
    <r>
      <t>b</t>
    </r>
    <r>
      <rPr>
        <vertAlign val="subscript"/>
        <sz val="10"/>
        <rFont val="Arial"/>
        <family val="2"/>
      </rPr>
      <t>0</t>
    </r>
    <r>
      <rPr>
        <sz val="11"/>
        <color theme="1"/>
        <rFont val="Calibri"/>
        <family val="2"/>
        <scheme val="minor"/>
      </rPr>
      <t xml:space="preserve"> (mm)</t>
    </r>
  </si>
  <si>
    <r>
      <t>r</t>
    </r>
    <r>
      <rPr>
        <vertAlign val="subscript"/>
        <sz val="10"/>
        <rFont val="Arial"/>
        <family val="2"/>
      </rPr>
      <t>1</t>
    </r>
  </si>
  <si>
    <t>Acero</t>
  </si>
  <si>
    <t>z</t>
  </si>
  <si>
    <r>
      <t>f</t>
    </r>
    <r>
      <rPr>
        <vertAlign val="subscript"/>
        <sz val="10"/>
        <rFont val="Arial"/>
        <family val="2"/>
      </rPr>
      <t>y90,d</t>
    </r>
    <r>
      <rPr>
        <sz val="10"/>
        <rFont val="Arial"/>
        <family val="2"/>
      </rPr>
      <t xml:space="preserve"> (N/mm</t>
    </r>
    <r>
      <rPr>
        <vertAlign val="superscript"/>
        <sz val="10"/>
        <rFont val="Arial"/>
        <family val="2"/>
      </rPr>
      <t>2</t>
    </r>
    <r>
      <rPr>
        <sz val="10"/>
        <rFont val="Arial"/>
        <family val="2"/>
      </rPr>
      <t>)</t>
    </r>
  </si>
  <si>
    <t>COMPROBACIÓN DE AGOTAMIENTO POR COMPRESIÓN OBLICUA EN EL ALMA (EN EL BORDE DEL APOYO)</t>
  </si>
  <si>
    <r>
      <t>V</t>
    </r>
    <r>
      <rPr>
        <b/>
        <vertAlign val="subscript"/>
        <sz val="10"/>
        <rFont val="Arial"/>
        <family val="2"/>
      </rPr>
      <t>u1</t>
    </r>
    <r>
      <rPr>
        <b/>
        <sz val="10"/>
        <rFont val="Arial"/>
        <family val="2"/>
      </rPr>
      <t xml:space="preserve"> (KN)</t>
    </r>
  </si>
  <si>
    <t>COMPROBACIÓN DE AGOTAMIENTO POR TRACCIÓN EN EL ALMA (A  UN CANTO ÚTIL DESDE EL BORDE DEL APOYO)</t>
  </si>
  <si>
    <t>ELEMENTO SIN ARMADURA DE CORTANTE</t>
  </si>
  <si>
    <t>ELEMENTO CON ARMADURA DE CORTANTE</t>
  </si>
  <si>
    <r>
      <t>V</t>
    </r>
    <r>
      <rPr>
        <b/>
        <vertAlign val="subscript"/>
        <sz val="10"/>
        <rFont val="Arial"/>
        <family val="2"/>
      </rPr>
      <t>u2</t>
    </r>
    <r>
      <rPr>
        <b/>
        <sz val="10"/>
        <rFont val="Arial"/>
        <family val="2"/>
      </rPr>
      <t xml:space="preserve"> (KN)</t>
    </r>
  </si>
  <si>
    <r>
      <t>V</t>
    </r>
    <r>
      <rPr>
        <vertAlign val="subscript"/>
        <sz val="10"/>
        <rFont val="Arial"/>
        <family val="2"/>
      </rPr>
      <t>cu</t>
    </r>
    <r>
      <rPr>
        <sz val="11"/>
        <color theme="1"/>
        <rFont val="Calibri"/>
        <family val="2"/>
        <scheme val="minor"/>
      </rPr>
      <t>(KN)</t>
    </r>
  </si>
  <si>
    <t>ARMADURA MÍNIMA</t>
  </si>
  <si>
    <r>
      <t>s</t>
    </r>
    <r>
      <rPr>
        <vertAlign val="subscript"/>
        <sz val="10"/>
        <rFont val="Arial"/>
        <family val="2"/>
      </rPr>
      <t>t,trans</t>
    </r>
    <r>
      <rPr>
        <sz val="10"/>
        <rFont val="Arial"/>
        <family val="2"/>
      </rPr>
      <t xml:space="preserve"> (mm)</t>
    </r>
  </si>
  <si>
    <t>Nº DE RAMAS</t>
  </si>
  <si>
    <t>HIPÓTESIS CONSIDERADAS</t>
  </si>
  <si>
    <r>
      <t>s</t>
    </r>
    <r>
      <rPr>
        <vertAlign val="subscript"/>
        <sz val="10"/>
        <rFont val="Arial"/>
        <family val="2"/>
      </rPr>
      <t>tmax</t>
    </r>
    <r>
      <rPr>
        <sz val="10"/>
        <rFont val="Arial"/>
        <family val="2"/>
      </rPr>
      <t>(mm)</t>
    </r>
  </si>
  <si>
    <t>Sección rectangular</t>
  </si>
  <si>
    <r>
      <t>A</t>
    </r>
    <r>
      <rPr>
        <vertAlign val="subscript"/>
        <sz val="10"/>
        <rFont val="Symbol"/>
        <family val="1"/>
        <charset val="2"/>
      </rPr>
      <t>a</t>
    </r>
    <r>
      <rPr>
        <vertAlign val="subscript"/>
        <sz val="10"/>
        <rFont val="Arial"/>
        <family val="2"/>
      </rPr>
      <t>min</t>
    </r>
    <r>
      <rPr>
        <sz val="10"/>
        <rFont val="Arial"/>
        <family val="2"/>
      </rPr>
      <t>(mm</t>
    </r>
    <r>
      <rPr>
        <vertAlign val="superscript"/>
        <sz val="10"/>
        <rFont val="Arial"/>
        <family val="2"/>
      </rPr>
      <t>2</t>
    </r>
    <r>
      <rPr>
        <sz val="10"/>
        <rFont val="Arial"/>
        <family val="2"/>
      </rPr>
      <t>/mm)</t>
    </r>
  </si>
  <si>
    <r>
      <t>V</t>
    </r>
    <r>
      <rPr>
        <vertAlign val="subscript"/>
        <sz val="10"/>
        <rFont val="Arial"/>
        <family val="2"/>
      </rPr>
      <t>su</t>
    </r>
    <r>
      <rPr>
        <sz val="11"/>
        <color theme="1"/>
        <rFont val="Calibri"/>
        <family val="2"/>
        <scheme val="minor"/>
      </rPr>
      <t>(KN)</t>
    </r>
  </si>
  <si>
    <t>No existen cargas colgadas</t>
  </si>
  <si>
    <t>ESFUERZO CORTANTE DE AGOTAMIENTO POR TRACCIÓN EN EL ALMA CON ARMADURA MÍNIMA Vu2 (KN)</t>
  </si>
  <si>
    <t>Cercos rectangulares</t>
  </si>
  <si>
    <r>
      <t>s</t>
    </r>
    <r>
      <rPr>
        <vertAlign val="subscript"/>
        <sz val="12"/>
        <rFont val="Arial"/>
        <family val="2"/>
      </rPr>
      <t>yd</t>
    </r>
    <r>
      <rPr>
        <sz val="12"/>
        <rFont val="Arial"/>
        <family val="2"/>
      </rPr>
      <t>=0</t>
    </r>
  </si>
  <si>
    <r>
      <t>a</t>
    </r>
    <r>
      <rPr>
        <sz val="12"/>
        <rFont val="Arial"/>
        <family val="2"/>
      </rPr>
      <t>=90º</t>
    </r>
  </si>
  <si>
    <t>ARMADURA DE REFUERZO</t>
  </si>
  <si>
    <r>
      <t>q=q</t>
    </r>
    <r>
      <rPr>
        <vertAlign val="subscript"/>
        <sz val="12"/>
        <rFont val="Arial"/>
        <family val="2"/>
      </rPr>
      <t>e</t>
    </r>
    <r>
      <rPr>
        <sz val="12"/>
        <rFont val="Symbol"/>
        <family val="1"/>
        <charset val="2"/>
      </rPr>
      <t>=</t>
    </r>
    <r>
      <rPr>
        <sz val="12"/>
        <rFont val="Arial"/>
        <family val="2"/>
      </rPr>
      <t>45º</t>
    </r>
  </si>
  <si>
    <r>
      <t>M</t>
    </r>
    <r>
      <rPr>
        <vertAlign val="subscript"/>
        <sz val="12"/>
        <rFont val="Arial"/>
        <family val="2"/>
      </rPr>
      <t>d</t>
    </r>
    <r>
      <rPr>
        <sz val="12"/>
        <rFont val="Arial"/>
        <family val="2"/>
      </rPr>
      <t>&gt;M</t>
    </r>
    <r>
      <rPr>
        <vertAlign val="subscript"/>
        <sz val="12"/>
        <rFont val="Arial"/>
        <family val="2"/>
      </rPr>
      <t>fis,d</t>
    </r>
  </si>
  <si>
    <r>
      <t>s</t>
    </r>
    <r>
      <rPr>
        <vertAlign val="subscript"/>
        <sz val="10"/>
        <rFont val="Arial"/>
        <family val="2"/>
      </rPr>
      <t>t</t>
    </r>
    <r>
      <rPr>
        <sz val="10"/>
        <rFont val="Arial"/>
        <family val="2"/>
      </rPr>
      <t>(mm)</t>
    </r>
  </si>
  <si>
    <r>
      <t>f</t>
    </r>
    <r>
      <rPr>
        <vertAlign val="subscript"/>
        <sz val="12"/>
        <rFont val="Arial"/>
        <family val="2"/>
      </rPr>
      <t>cv</t>
    </r>
    <r>
      <rPr>
        <sz val="12"/>
        <rFont val="Arial"/>
        <family val="2"/>
      </rPr>
      <t>=f</t>
    </r>
    <r>
      <rPr>
        <vertAlign val="subscript"/>
        <sz val="12"/>
        <rFont val="Arial"/>
        <family val="2"/>
      </rPr>
      <t>ck</t>
    </r>
  </si>
  <si>
    <r>
      <t>A</t>
    </r>
    <r>
      <rPr>
        <vertAlign val="subscript"/>
        <sz val="10"/>
        <rFont val="Symbol"/>
        <family val="1"/>
        <charset val="2"/>
      </rPr>
      <t>a</t>
    </r>
    <r>
      <rPr>
        <sz val="10"/>
        <rFont val="Arial"/>
        <family val="2"/>
      </rPr>
      <t>(mm</t>
    </r>
    <r>
      <rPr>
        <vertAlign val="superscript"/>
        <sz val="10"/>
        <rFont val="Arial"/>
        <family val="2"/>
      </rPr>
      <t>2</t>
    </r>
    <r>
      <rPr>
        <sz val="10"/>
        <rFont val="Arial"/>
        <family val="2"/>
      </rPr>
      <t>/mm)</t>
    </r>
  </si>
  <si>
    <r>
      <t>b</t>
    </r>
    <r>
      <rPr>
        <vertAlign val="subscript"/>
        <sz val="12"/>
        <rFont val="Arial"/>
        <family val="2"/>
      </rPr>
      <t>0</t>
    </r>
    <r>
      <rPr>
        <sz val="12"/>
        <rFont val="Arial"/>
        <family val="2"/>
      </rPr>
      <t>= ancho de pilar + 2·d</t>
    </r>
  </si>
  <si>
    <t>No hay armadura de compresión</t>
  </si>
  <si>
    <t>vcu</t>
  </si>
  <si>
    <t>β</t>
  </si>
  <si>
    <t>θe</t>
  </si>
  <si>
    <t>con theta mayor o igual de 45</t>
  </si>
  <si>
    <t>con theta menos de 45</t>
  </si>
  <si>
    <t>beta elegido</t>
  </si>
  <si>
    <t>Vu2</t>
  </si>
  <si>
    <t>Vcu</t>
  </si>
  <si>
    <t>Vsu</t>
  </si>
  <si>
    <t>Vu1</t>
  </si>
  <si>
    <t>EHE</t>
  </si>
  <si>
    <t>fct,m (Mpa)</t>
  </si>
  <si>
    <r>
      <t>cot</t>
    </r>
    <r>
      <rPr>
        <sz val="11"/>
        <color theme="1"/>
        <rFont val="Calibri"/>
        <family val="2"/>
      </rPr>
      <t>θ</t>
    </r>
  </si>
  <si>
    <r>
      <t>cot</t>
    </r>
    <r>
      <rPr>
        <sz val="11"/>
        <color theme="1"/>
        <rFont val="Calibri"/>
        <family val="2"/>
      </rPr>
      <t>θe</t>
    </r>
  </si>
  <si>
    <t>ξ</t>
  </si>
  <si>
    <t>DECALAJE RESPECTO d</t>
  </si>
  <si>
    <t>VRd,c1</t>
  </si>
  <si>
    <t>VRd,c2</t>
  </si>
  <si>
    <t>Vsu+Vcu</t>
  </si>
  <si>
    <t>CE/EHE</t>
  </si>
  <si>
    <t>NO</t>
  </si>
  <si>
    <r>
      <rPr>
        <sz val="11"/>
        <color theme="1"/>
        <rFont val="Calibri"/>
        <family val="2"/>
      </rPr>
      <t>τ</t>
    </r>
    <r>
      <rPr>
        <sz val="11"/>
        <color theme="1"/>
        <rFont val="Calibri"/>
        <family val="2"/>
        <scheme val="minor"/>
      </rPr>
      <t>Vu2,1</t>
    </r>
  </si>
  <si>
    <t>τVu2,2</t>
  </si>
  <si>
    <t>τVcu</t>
  </si>
  <si>
    <t>ancho de pilar (mm)</t>
  </si>
  <si>
    <t>ST,trans MAX</t>
  </si>
  <si>
    <t>St,MAX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</si>
</sst>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0000"/>
    <numFmt numFmtId="167" formatCode="&quot;HA-&quot;0"/>
    <numFmt numFmtId="168" formatCode="&quot;B &quot;0&quot; S&quot;"/>
  </numFmts>
  <fonts count="24" x14ac:knownFonts="1">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font>
    <font>
      <b/>
      <sz val="14"/>
      <color theme="1"/>
      <name val="Calibri"/>
      <family val="2"/>
      <scheme val="minor"/>
    </font>
    <font>
      <b/>
      <sz val="14"/>
      <color theme="1"/>
      <name val="Calibri"/>
      <family val="2"/>
    </font>
    <font>
      <sz val="10"/>
      <name val="Arial"/>
      <family val="2"/>
    </font>
    <font>
      <sz val="8"/>
      <name val="Arial"/>
      <family val="2"/>
    </font>
    <font>
      <b/>
      <sz val="14"/>
      <name val="Arial"/>
      <family val="2"/>
    </font>
    <font>
      <b/>
      <sz val="10"/>
      <name val="Arial"/>
      <family val="2"/>
    </font>
    <font>
      <sz val="10"/>
      <name val="Symbol"/>
      <family val="1"/>
      <charset val="2"/>
    </font>
    <font>
      <vertAlign val="subscript"/>
      <sz val="10"/>
      <name val="Arial"/>
      <family val="2"/>
    </font>
    <font>
      <vertAlign val="superscript"/>
      <sz val="10"/>
      <name val="Arial"/>
      <family val="2"/>
    </font>
    <font>
      <b/>
      <vertAlign val="subscript"/>
      <sz val="10"/>
      <name val="Arial"/>
      <family val="2"/>
    </font>
    <font>
      <sz val="12"/>
      <name val="Arial"/>
      <family val="2"/>
    </font>
    <font>
      <vertAlign val="subscript"/>
      <sz val="10"/>
      <name val="Symbol"/>
      <family val="1"/>
      <charset val="2"/>
    </font>
    <font>
      <b/>
      <sz val="9"/>
      <name val="Arial"/>
      <family val="2"/>
    </font>
    <font>
      <sz val="12"/>
      <name val="Symbol"/>
      <family val="1"/>
      <charset val="2"/>
    </font>
    <font>
      <vertAlign val="subscript"/>
      <sz val="12"/>
      <name val="Arial"/>
      <family val="2"/>
    </font>
    <font>
      <b/>
      <sz val="14"/>
      <color rgb="FFFF0000"/>
      <name val="Calibri"/>
      <family val="2"/>
      <scheme val="minor"/>
    </font>
    <font>
      <b/>
      <sz val="26"/>
      <color theme="1"/>
      <name val="Calibri"/>
      <family val="2"/>
      <scheme val="minor"/>
    </font>
    <font>
      <sz val="14"/>
      <color theme="1"/>
      <name val="Calibri"/>
      <family val="2"/>
      <scheme val="minor"/>
    </font>
    <font>
      <sz val="11"/>
      <color rgb="FF0070C0"/>
      <name val="Calibri"/>
      <family val="2"/>
      <scheme val="minor"/>
    </font>
    <font>
      <sz val="11"/>
      <color theme="5" tint="-0.249977111117893"/>
      <name val="Calibri"/>
      <family val="2"/>
      <scheme val="minor"/>
    </font>
  </fonts>
  <fills count="8">
    <fill>
      <patternFill patternType="none"/>
    </fill>
    <fill>
      <patternFill patternType="gray125"/>
    </fill>
    <fill>
      <patternFill patternType="solid">
        <fgColor theme="4" tint="0.79998168889431442"/>
        <bgColor indexed="64"/>
      </patternFill>
    </fill>
    <fill>
      <patternFill patternType="solid">
        <fgColor indexed="22"/>
        <bgColor indexed="64"/>
      </patternFill>
    </fill>
    <fill>
      <patternFill patternType="solid">
        <fgColor indexed="9"/>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s>
  <borders count="75">
    <border>
      <left/>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bottom style="medium">
        <color indexed="64"/>
      </bottom>
      <diagonal/>
    </border>
    <border>
      <left/>
      <right/>
      <top/>
      <bottom style="medium">
        <color indexed="64"/>
      </bottom>
      <diagonal/>
    </border>
    <border>
      <left/>
      <right style="thick">
        <color indexed="64"/>
      </right>
      <top/>
      <bottom style="medium">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thick">
        <color indexed="64"/>
      </right>
      <top style="thin">
        <color indexed="64"/>
      </top>
      <bottom style="thin">
        <color indexed="64"/>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ck">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ck">
        <color indexed="64"/>
      </left>
      <right/>
      <top/>
      <bottom style="thick">
        <color indexed="64"/>
      </bottom>
      <diagonal/>
    </border>
    <border>
      <left/>
      <right style="medium">
        <color indexed="64"/>
      </right>
      <top/>
      <bottom style="thick">
        <color indexed="64"/>
      </bottom>
      <diagonal/>
    </border>
    <border>
      <left style="medium">
        <color indexed="64"/>
      </left>
      <right/>
      <top style="thin">
        <color indexed="64"/>
      </top>
      <bottom style="thick">
        <color indexed="64"/>
      </bottom>
      <diagonal/>
    </border>
    <border>
      <left/>
      <right style="thick">
        <color indexed="64"/>
      </right>
      <top style="thin">
        <color indexed="64"/>
      </top>
      <bottom style="thick">
        <color indexed="64"/>
      </bottom>
      <diagonal/>
    </border>
    <border>
      <left/>
      <right/>
      <top style="thick">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6" fillId="0" borderId="0"/>
  </cellStyleXfs>
  <cellXfs count="223">
    <xf numFmtId="0" fontId="0" fillId="0" borderId="0" xfId="0"/>
    <xf numFmtId="0" fontId="3" fillId="0" borderId="0" xfId="0" applyFont="1"/>
    <xf numFmtId="0" fontId="0" fillId="2" borderId="0" xfId="0" applyFill="1"/>
    <xf numFmtId="0" fontId="7" fillId="0" borderId="0" xfId="0" applyFont="1" applyAlignment="1">
      <alignment wrapText="1"/>
    </xf>
    <xf numFmtId="0" fontId="0" fillId="3" borderId="12" xfId="0" applyFill="1" applyBorder="1" applyAlignment="1">
      <alignment horizontal="right" vertical="center"/>
    </xf>
    <xf numFmtId="0" fontId="0" fillId="4" borderId="13" xfId="0" applyFill="1" applyBorder="1" applyAlignment="1" applyProtection="1">
      <alignment horizontal="left" vertical="center"/>
      <protection locked="0"/>
    </xf>
    <xf numFmtId="0" fontId="0" fillId="3" borderId="13" xfId="0" applyFill="1" applyBorder="1" applyAlignment="1">
      <alignment horizontal="center" vertical="center"/>
    </xf>
    <xf numFmtId="0" fontId="10" fillId="3" borderId="13" xfId="0" applyFont="1" applyFill="1" applyBorder="1" applyAlignment="1">
      <alignment horizontal="center" vertical="center"/>
    </xf>
    <xf numFmtId="0" fontId="0" fillId="4" borderId="14" xfId="0" applyFill="1" applyBorder="1" applyAlignment="1" applyProtection="1">
      <alignment horizontal="left" vertical="center"/>
      <protection locked="0"/>
    </xf>
    <xf numFmtId="0" fontId="0" fillId="0" borderId="14" xfId="0" applyBorder="1" applyAlignment="1" applyProtection="1">
      <alignment horizontal="left" vertical="center"/>
      <protection locked="0"/>
    </xf>
    <xf numFmtId="1" fontId="6" fillId="0" borderId="0" xfId="1" applyNumberFormat="1" applyAlignment="1" applyProtection="1">
      <alignment horizontal="left"/>
      <protection locked="0"/>
    </xf>
    <xf numFmtId="0" fontId="0" fillId="3" borderId="13" xfId="0" applyFill="1" applyBorder="1" applyAlignment="1">
      <alignment horizontal="left" vertical="center"/>
    </xf>
    <xf numFmtId="0" fontId="0" fillId="3" borderId="13" xfId="0" applyFill="1" applyBorder="1" applyAlignment="1">
      <alignment vertical="center"/>
    </xf>
    <xf numFmtId="0" fontId="0" fillId="3" borderId="14" xfId="0" applyFill="1" applyBorder="1" applyAlignment="1">
      <alignment vertical="center"/>
    </xf>
    <xf numFmtId="0" fontId="0" fillId="3" borderId="15" xfId="0" applyFill="1" applyBorder="1" applyAlignment="1">
      <alignment horizontal="right" vertical="center"/>
    </xf>
    <xf numFmtId="167" fontId="0" fillId="4" borderId="13" xfId="0" applyNumberFormat="1" applyFill="1" applyBorder="1" applyAlignment="1" applyProtection="1">
      <alignment horizontal="left" vertical="center"/>
      <protection locked="0"/>
    </xf>
    <xf numFmtId="0" fontId="0" fillId="4" borderId="13" xfId="0" applyFill="1" applyBorder="1" applyAlignment="1" applyProtection="1">
      <alignment horizontal="center" vertical="center"/>
      <protection locked="0"/>
    </xf>
    <xf numFmtId="2" fontId="0" fillId="3" borderId="14" xfId="0" applyNumberFormat="1" applyFill="1" applyBorder="1" applyAlignment="1">
      <alignment vertical="center"/>
    </xf>
    <xf numFmtId="0" fontId="0" fillId="3" borderId="0" xfId="0" applyFill="1" applyAlignment="1">
      <alignment vertical="center"/>
    </xf>
    <xf numFmtId="0" fontId="10" fillId="3" borderId="13" xfId="0" applyFont="1" applyFill="1" applyBorder="1" applyAlignment="1">
      <alignment horizontal="left" vertical="center"/>
    </xf>
    <xf numFmtId="166" fontId="0" fillId="3" borderId="13" xfId="0" applyNumberFormat="1" applyFill="1" applyBorder="1" applyAlignment="1">
      <alignment horizontal="left" vertical="center"/>
    </xf>
    <xf numFmtId="168" fontId="6" fillId="0" borderId="13" xfId="1" applyNumberFormat="1" applyBorder="1" applyAlignment="1" applyProtection="1">
      <alignment horizontal="left"/>
      <protection locked="0"/>
    </xf>
    <xf numFmtId="0" fontId="0" fillId="3" borderId="16" xfId="0" applyFill="1" applyBorder="1" applyAlignment="1">
      <alignment horizontal="right" vertical="center"/>
    </xf>
    <xf numFmtId="0" fontId="0" fillId="3" borderId="17" xfId="0" applyFill="1" applyBorder="1" applyAlignment="1">
      <alignment horizontal="left" vertical="center"/>
    </xf>
    <xf numFmtId="0" fontId="10" fillId="3" borderId="17" xfId="0" applyFont="1" applyFill="1" applyBorder="1" applyAlignment="1">
      <alignment horizontal="left" vertical="center"/>
    </xf>
    <xf numFmtId="2" fontId="0" fillId="3" borderId="17" xfId="0" applyNumberFormat="1" applyFill="1" applyBorder="1" applyAlignment="1">
      <alignment horizontal="left" vertical="center"/>
    </xf>
    <xf numFmtId="0" fontId="0" fillId="3" borderId="18" xfId="0" applyFill="1" applyBorder="1" applyAlignment="1">
      <alignment vertical="center"/>
    </xf>
    <xf numFmtId="0" fontId="0" fillId="3" borderId="19" xfId="0" applyFill="1" applyBorder="1" applyAlignment="1">
      <alignment vertical="center"/>
    </xf>
    <xf numFmtId="0" fontId="0" fillId="3" borderId="17" xfId="0" applyFill="1" applyBorder="1" applyAlignment="1">
      <alignment vertical="center"/>
    </xf>
    <xf numFmtId="2" fontId="0" fillId="3" borderId="20" xfId="0" applyNumberFormat="1" applyFill="1" applyBorder="1" applyAlignment="1">
      <alignment vertical="center"/>
    </xf>
    <xf numFmtId="0" fontId="0" fillId="0" borderId="2" xfId="0" applyBorder="1" applyAlignment="1">
      <alignment horizontal="right" vertical="center"/>
    </xf>
    <xf numFmtId="0" fontId="0" fillId="0" borderId="0" xfId="0" applyAlignment="1">
      <alignment horizontal="left" vertical="center"/>
    </xf>
    <xf numFmtId="0" fontId="10" fillId="0" borderId="0" xfId="0" applyFont="1" applyAlignment="1">
      <alignment horizontal="left" vertical="center"/>
    </xf>
    <xf numFmtId="0" fontId="0" fillId="0" borderId="0" xfId="0" applyAlignment="1">
      <alignment vertical="center"/>
    </xf>
    <xf numFmtId="0" fontId="0" fillId="0" borderId="2" xfId="0" applyBorder="1" applyAlignment="1">
      <alignment vertical="center"/>
    </xf>
    <xf numFmtId="0" fontId="9" fillId="3" borderId="24" xfId="0" applyFont="1" applyFill="1" applyBorder="1" applyAlignment="1">
      <alignment horizontal="right" vertical="center"/>
    </xf>
    <xf numFmtId="0" fontId="9" fillId="3" borderId="25" xfId="0" applyFont="1" applyFill="1" applyBorder="1" applyAlignment="1">
      <alignment horizontal="left" vertical="center"/>
    </xf>
    <xf numFmtId="0" fontId="0" fillId="0" borderId="0" xfId="0" applyAlignment="1">
      <alignment horizontal="right" vertical="center"/>
    </xf>
    <xf numFmtId="0" fontId="0" fillId="0" borderId="0" xfId="0" applyAlignment="1">
      <alignment horizontal="center" vertical="center"/>
    </xf>
    <xf numFmtId="0" fontId="9" fillId="3" borderId="12" xfId="0" applyFont="1" applyFill="1" applyBorder="1" applyAlignment="1">
      <alignment horizontal="right" vertical="center"/>
    </xf>
    <xf numFmtId="0" fontId="0" fillId="3" borderId="34" xfId="0" applyFill="1" applyBorder="1" applyAlignment="1">
      <alignment horizontal="left" vertical="center"/>
    </xf>
    <xf numFmtId="2" fontId="0" fillId="3" borderId="13" xfId="0" applyNumberFormat="1" applyFill="1" applyBorder="1" applyAlignment="1">
      <alignment horizontal="left" vertical="center"/>
    </xf>
    <xf numFmtId="0" fontId="0" fillId="3" borderId="38" xfId="0" applyFill="1" applyBorder="1" applyAlignment="1">
      <alignment horizontal="right" vertical="center"/>
    </xf>
    <xf numFmtId="0" fontId="0" fillId="3" borderId="0" xfId="0" applyFill="1"/>
    <xf numFmtId="0" fontId="0" fillId="3" borderId="0" xfId="0" applyFill="1" applyAlignment="1">
      <alignment horizontal="center" vertical="center"/>
    </xf>
    <xf numFmtId="0" fontId="0" fillId="3" borderId="30" xfId="0" applyFill="1" applyBorder="1" applyAlignment="1">
      <alignment horizontal="center" vertical="center"/>
    </xf>
    <xf numFmtId="0" fontId="0" fillId="3" borderId="39" xfId="0" applyFill="1" applyBorder="1" applyAlignment="1">
      <alignment vertical="center"/>
    </xf>
    <xf numFmtId="0" fontId="0" fillId="3" borderId="14" xfId="0" applyFill="1" applyBorder="1" applyAlignment="1">
      <alignment horizontal="left" vertical="center"/>
    </xf>
    <xf numFmtId="0" fontId="0" fillId="3" borderId="34" xfId="0" applyFill="1" applyBorder="1" applyAlignment="1">
      <alignment vertical="center"/>
    </xf>
    <xf numFmtId="1" fontId="0" fillId="3" borderId="13" xfId="0" applyNumberFormat="1" applyFill="1" applyBorder="1" applyAlignment="1">
      <alignment horizontal="left" vertical="center"/>
    </xf>
    <xf numFmtId="0" fontId="0" fillId="4" borderId="40" xfId="0" applyFill="1" applyBorder="1" applyAlignment="1" applyProtection="1">
      <alignment horizontal="left" vertical="center"/>
      <protection locked="0"/>
    </xf>
    <xf numFmtId="165" fontId="0" fillId="3" borderId="13" xfId="0" applyNumberFormat="1" applyFill="1" applyBorder="1" applyAlignment="1">
      <alignment horizontal="left" vertical="center"/>
    </xf>
    <xf numFmtId="2" fontId="0" fillId="3" borderId="14" xfId="0" applyNumberFormat="1" applyFill="1" applyBorder="1" applyAlignment="1">
      <alignment horizontal="left" vertical="center"/>
    </xf>
    <xf numFmtId="1" fontId="0" fillId="0" borderId="0" xfId="0" applyNumberFormat="1" applyAlignment="1" applyProtection="1">
      <alignment horizontal="left" vertical="center"/>
      <protection locked="0"/>
    </xf>
    <xf numFmtId="0" fontId="0" fillId="0" borderId="29" xfId="0" applyBorder="1"/>
    <xf numFmtId="0" fontId="10" fillId="0" borderId="52" xfId="0" applyFont="1" applyBorder="1" applyAlignment="1">
      <alignment horizontal="center"/>
    </xf>
    <xf numFmtId="0" fontId="0" fillId="0" borderId="52" xfId="0" applyBorder="1"/>
    <xf numFmtId="0" fontId="1" fillId="0" borderId="0" xfId="0" applyFont="1"/>
    <xf numFmtId="0" fontId="2" fillId="0" borderId="53" xfId="0" applyFont="1" applyBorder="1"/>
    <xf numFmtId="0" fontId="0" fillId="0" borderId="54" xfId="0" applyBorder="1"/>
    <xf numFmtId="0" fontId="0" fillId="0" borderId="55" xfId="0" applyBorder="1"/>
    <xf numFmtId="0" fontId="0" fillId="0" borderId="56" xfId="0" applyBorder="1"/>
    <xf numFmtId="0" fontId="3" fillId="0" borderId="56" xfId="0" applyFont="1" applyBorder="1"/>
    <xf numFmtId="0" fontId="0" fillId="0" borderId="30" xfId="0" applyBorder="1"/>
    <xf numFmtId="0" fontId="3" fillId="0" borderId="30" xfId="0" applyFont="1" applyBorder="1"/>
    <xf numFmtId="164" fontId="0" fillId="0" borderId="0" xfId="0" applyNumberFormat="1"/>
    <xf numFmtId="164" fontId="4" fillId="0" borderId="0" xfId="0" applyNumberFormat="1" applyFont="1"/>
    <xf numFmtId="0" fontId="19" fillId="0" borderId="0" xfId="0" applyFont="1"/>
    <xf numFmtId="0" fontId="0" fillId="0" borderId="57" xfId="0" applyBorder="1"/>
    <xf numFmtId="0" fontId="0" fillId="2" borderId="30" xfId="0" applyFill="1" applyBorder="1"/>
    <xf numFmtId="0" fontId="20" fillId="0" borderId="0" xfId="0" applyFont="1"/>
    <xf numFmtId="0" fontId="0" fillId="0" borderId="13" xfId="0" applyBorder="1"/>
    <xf numFmtId="0" fontId="3" fillId="0" borderId="13" xfId="0" applyFont="1" applyBorder="1"/>
    <xf numFmtId="0" fontId="0" fillId="2" borderId="13" xfId="0" applyFill="1" applyBorder="1"/>
    <xf numFmtId="0" fontId="4" fillId="0" borderId="13" xfId="0" applyFont="1" applyBorder="1"/>
    <xf numFmtId="164" fontId="4" fillId="0" borderId="13" xfId="0" applyNumberFormat="1" applyFont="1" applyBorder="1"/>
    <xf numFmtId="164" fontId="0" fillId="0" borderId="13" xfId="0" applyNumberFormat="1" applyBorder="1"/>
    <xf numFmtId="0" fontId="0" fillId="0" borderId="58" xfId="0" applyBorder="1"/>
    <xf numFmtId="0" fontId="0" fillId="0" borderId="60" xfId="0" applyBorder="1"/>
    <xf numFmtId="0" fontId="4" fillId="0" borderId="60" xfId="0" applyFont="1" applyBorder="1"/>
    <xf numFmtId="164" fontId="4" fillId="0" borderId="60" xfId="0" applyNumberFormat="1" applyFont="1" applyBorder="1"/>
    <xf numFmtId="164" fontId="0" fillId="0" borderId="60" xfId="0" applyNumberFormat="1" applyBorder="1"/>
    <xf numFmtId="0" fontId="3" fillId="0" borderId="39" xfId="0" applyFont="1" applyBorder="1"/>
    <xf numFmtId="0" fontId="0" fillId="0" borderId="33" xfId="0" applyBorder="1"/>
    <xf numFmtId="0" fontId="0" fillId="0" borderId="63" xfId="0" applyBorder="1"/>
    <xf numFmtId="0" fontId="5" fillId="0" borderId="63" xfId="0" applyFont="1" applyBorder="1"/>
    <xf numFmtId="164" fontId="4" fillId="0" borderId="63" xfId="0" applyNumberFormat="1" applyFont="1" applyBorder="1"/>
    <xf numFmtId="0" fontId="4" fillId="0" borderId="63" xfId="0" applyFont="1" applyBorder="1"/>
    <xf numFmtId="164" fontId="0" fillId="0" borderId="63" xfId="0" applyNumberFormat="1" applyBorder="1"/>
    <xf numFmtId="164" fontId="4" fillId="0" borderId="58" xfId="0" applyNumberFormat="1" applyFont="1" applyBorder="1"/>
    <xf numFmtId="0" fontId="21" fillId="0" borderId="60" xfId="0" applyFont="1" applyBorder="1"/>
    <xf numFmtId="164" fontId="21" fillId="0" borderId="60" xfId="0" applyNumberFormat="1" applyFont="1" applyBorder="1"/>
    <xf numFmtId="0" fontId="21" fillId="0" borderId="13" xfId="0" applyFont="1" applyBorder="1"/>
    <xf numFmtId="164" fontId="21" fillId="0" borderId="13" xfId="0" applyNumberFormat="1" applyFont="1" applyBorder="1"/>
    <xf numFmtId="0" fontId="21" fillId="0" borderId="63" xfId="0" applyFont="1" applyBorder="1"/>
    <xf numFmtId="164" fontId="21" fillId="0" borderId="63" xfId="0" applyNumberFormat="1" applyFont="1" applyBorder="1"/>
    <xf numFmtId="0" fontId="21" fillId="0" borderId="58" xfId="0" applyFont="1" applyBorder="1"/>
    <xf numFmtId="164" fontId="21" fillId="0" borderId="58" xfId="0" applyNumberFormat="1" applyFont="1" applyBorder="1"/>
    <xf numFmtId="2" fontId="19" fillId="0" borderId="0" xfId="0" applyNumberFormat="1" applyFont="1"/>
    <xf numFmtId="166" fontId="0" fillId="0" borderId="13" xfId="0" applyNumberFormat="1" applyBorder="1"/>
    <xf numFmtId="0" fontId="2" fillId="0" borderId="59" xfId="0" applyFont="1" applyBorder="1"/>
    <xf numFmtId="0" fontId="2" fillId="0" borderId="60" xfId="0" applyFont="1" applyBorder="1"/>
    <xf numFmtId="0" fontId="2" fillId="0" borderId="61" xfId="0" applyFont="1" applyBorder="1"/>
    <xf numFmtId="0" fontId="0" fillId="0" borderId="39" xfId="0" applyBorder="1"/>
    <xf numFmtId="2" fontId="0" fillId="0" borderId="62" xfId="0" applyNumberFormat="1" applyBorder="1"/>
    <xf numFmtId="2" fontId="0" fillId="0" borderId="63" xfId="0" applyNumberFormat="1" applyBorder="1"/>
    <xf numFmtId="0" fontId="2" fillId="0" borderId="9" xfId="0" applyFont="1" applyBorder="1"/>
    <xf numFmtId="0" fontId="0" fillId="0" borderId="65" xfId="0" applyBorder="1"/>
    <xf numFmtId="2" fontId="0" fillId="0" borderId="66" xfId="0" applyNumberFormat="1" applyBorder="1"/>
    <xf numFmtId="0" fontId="3" fillId="0" borderId="33" xfId="0" applyFont="1" applyBorder="1"/>
    <xf numFmtId="0" fontId="0" fillId="2" borderId="39" xfId="0" applyFill="1" applyBorder="1"/>
    <xf numFmtId="166" fontId="0" fillId="0" borderId="33" xfId="0" applyNumberFormat="1" applyBorder="1"/>
    <xf numFmtId="0" fontId="3" fillId="0" borderId="59" xfId="0" applyFont="1" applyBorder="1"/>
    <xf numFmtId="0" fontId="3" fillId="0" borderId="62" xfId="0" applyFont="1" applyBorder="1"/>
    <xf numFmtId="0" fontId="3" fillId="0" borderId="64" xfId="0" applyFont="1" applyBorder="1"/>
    <xf numFmtId="0" fontId="0" fillId="0" borderId="62" xfId="0" applyBorder="1"/>
    <xf numFmtId="0" fontId="0" fillId="5" borderId="60" xfId="0" applyFill="1" applyBorder="1"/>
    <xf numFmtId="0" fontId="4" fillId="5" borderId="60" xfId="0" applyFont="1" applyFill="1" applyBorder="1"/>
    <xf numFmtId="164" fontId="4" fillId="5" borderId="60" xfId="0" applyNumberFormat="1" applyFont="1" applyFill="1" applyBorder="1"/>
    <xf numFmtId="0" fontId="0" fillId="5" borderId="13" xfId="0" applyFill="1" applyBorder="1"/>
    <xf numFmtId="0" fontId="4" fillId="5" borderId="13" xfId="0" applyFont="1" applyFill="1" applyBorder="1"/>
    <xf numFmtId="164" fontId="4" fillId="5" borderId="13" xfId="0" applyNumberFormat="1" applyFont="1" applyFill="1" applyBorder="1"/>
    <xf numFmtId="166" fontId="0" fillId="0" borderId="0" xfId="0" applyNumberFormat="1"/>
    <xf numFmtId="2" fontId="19" fillId="0" borderId="60" xfId="0" applyNumberFormat="1" applyFont="1" applyBorder="1"/>
    <xf numFmtId="2" fontId="19" fillId="0" borderId="13" xfId="0" applyNumberFormat="1" applyFont="1" applyBorder="1"/>
    <xf numFmtId="2" fontId="19" fillId="0" borderId="63" xfId="0" applyNumberFormat="1" applyFont="1" applyBorder="1"/>
    <xf numFmtId="0" fontId="1" fillId="0" borderId="58" xfId="0" applyFont="1" applyBorder="1"/>
    <xf numFmtId="2" fontId="2" fillId="5" borderId="0" xfId="0" applyNumberFormat="1" applyFont="1" applyFill="1"/>
    <xf numFmtId="2" fontId="2" fillId="0" borderId="0" xfId="0" applyNumberFormat="1" applyFont="1"/>
    <xf numFmtId="164" fontId="0" fillId="6" borderId="60" xfId="0" applyNumberFormat="1" applyFill="1" applyBorder="1"/>
    <xf numFmtId="164" fontId="0" fillId="6" borderId="13" xfId="0" applyNumberFormat="1" applyFill="1" applyBorder="1"/>
    <xf numFmtId="164" fontId="0" fillId="6" borderId="63" xfId="0" applyNumberFormat="1" applyFill="1" applyBorder="1"/>
    <xf numFmtId="164" fontId="0" fillId="7" borderId="60" xfId="0" applyNumberFormat="1" applyFill="1" applyBorder="1"/>
    <xf numFmtId="164" fontId="21" fillId="6" borderId="60" xfId="0" applyNumberFormat="1" applyFont="1" applyFill="1" applyBorder="1"/>
    <xf numFmtId="164" fontId="21" fillId="6" borderId="13" xfId="0" applyNumberFormat="1" applyFont="1" applyFill="1" applyBorder="1"/>
    <xf numFmtId="164" fontId="4" fillId="6" borderId="60" xfId="0" applyNumberFormat="1" applyFont="1" applyFill="1" applyBorder="1"/>
    <xf numFmtId="164" fontId="4" fillId="6" borderId="13" xfId="0" applyNumberFormat="1" applyFont="1" applyFill="1" applyBorder="1"/>
    <xf numFmtId="2" fontId="2" fillId="6" borderId="0" xfId="0" applyNumberFormat="1" applyFont="1" applyFill="1"/>
    <xf numFmtId="0" fontId="0" fillId="2" borderId="5" xfId="0" applyFill="1" applyBorder="1"/>
    <xf numFmtId="0" fontId="2" fillId="0" borderId="31" xfId="0" applyFont="1" applyBorder="1"/>
    <xf numFmtId="0" fontId="2" fillId="0" borderId="8" xfId="0" applyFont="1" applyBorder="1"/>
    <xf numFmtId="0" fontId="2" fillId="0" borderId="71" xfId="0" applyFont="1" applyBorder="1"/>
    <xf numFmtId="0" fontId="2" fillId="0" borderId="72" xfId="0" applyFont="1" applyBorder="1"/>
    <xf numFmtId="0" fontId="0" fillId="0" borderId="73" xfId="0" applyBorder="1"/>
    <xf numFmtId="0" fontId="0" fillId="0" borderId="5" xfId="0" applyBorder="1"/>
    <xf numFmtId="164" fontId="0" fillId="0" borderId="5" xfId="0" applyNumberFormat="1" applyBorder="1"/>
    <xf numFmtId="166" fontId="0" fillId="0" borderId="5" xfId="0" applyNumberFormat="1" applyBorder="1"/>
    <xf numFmtId="0" fontId="22" fillId="0" borderId="0" xfId="0" applyFont="1"/>
    <xf numFmtId="164" fontId="0" fillId="0" borderId="61" xfId="0" applyNumberFormat="1" applyBorder="1"/>
    <xf numFmtId="2" fontId="22" fillId="0" borderId="30" xfId="0" applyNumberFormat="1" applyFont="1" applyBorder="1"/>
    <xf numFmtId="164" fontId="0" fillId="7" borderId="61" xfId="0" applyNumberFormat="1" applyFill="1" applyBorder="1"/>
    <xf numFmtId="0" fontId="23" fillId="0" borderId="0" xfId="0" applyFont="1"/>
    <xf numFmtId="164" fontId="23" fillId="0" borderId="74" xfId="0" applyNumberFormat="1" applyFont="1" applyBorder="1"/>
    <xf numFmtId="0" fontId="0" fillId="0" borderId="46" xfId="0" applyBorder="1" applyAlignment="1">
      <alignment horizontal="left"/>
    </xf>
    <xf numFmtId="0" fontId="0" fillId="0" borderId="47" xfId="0" applyBorder="1" applyAlignment="1">
      <alignment horizontal="left"/>
    </xf>
    <xf numFmtId="0" fontId="0" fillId="0" borderId="67" xfId="0" applyBorder="1" applyAlignment="1">
      <alignment horizontal="left"/>
    </xf>
    <xf numFmtId="0" fontId="0" fillId="0" borderId="68" xfId="0" applyBorder="1" applyAlignment="1">
      <alignment horizontal="left"/>
    </xf>
    <xf numFmtId="0" fontId="0" fillId="0" borderId="69" xfId="0" applyBorder="1" applyAlignment="1">
      <alignment horizontal="left"/>
    </xf>
    <xf numFmtId="0" fontId="0" fillId="0" borderId="70" xfId="0" applyBorder="1" applyAlignment="1">
      <alignment horizontal="left"/>
    </xf>
    <xf numFmtId="0" fontId="0" fillId="0" borderId="54" xfId="0" applyBorder="1" applyAlignment="1">
      <alignment horizontal="center"/>
    </xf>
    <xf numFmtId="0" fontId="2" fillId="0" borderId="53" xfId="0" applyFont="1" applyBorder="1" applyAlignment="1">
      <alignment horizontal="left"/>
    </xf>
    <xf numFmtId="0" fontId="2" fillId="0" borderId="54" xfId="0" applyFont="1" applyBorder="1" applyAlignment="1">
      <alignment horizontal="left"/>
    </xf>
    <xf numFmtId="0" fontId="2" fillId="0" borderId="55" xfId="0" applyFont="1" applyBorder="1" applyAlignment="1">
      <alignment horizontal="left"/>
    </xf>
    <xf numFmtId="0" fontId="14" fillId="3" borderId="48" xfId="0" applyFont="1" applyFill="1" applyBorder="1" applyAlignment="1">
      <alignment horizontal="center" vertical="center"/>
    </xf>
    <xf numFmtId="0" fontId="14" fillId="3" borderId="27" xfId="0" applyFont="1" applyFill="1" applyBorder="1" applyAlignment="1">
      <alignment horizontal="center" vertical="center"/>
    </xf>
    <xf numFmtId="0" fontId="14" fillId="3" borderId="49" xfId="0" applyFont="1" applyFill="1" applyBorder="1" applyAlignment="1">
      <alignment horizontal="center" vertical="center"/>
    </xf>
    <xf numFmtId="0" fontId="9" fillId="3" borderId="50"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51" xfId="0" applyFont="1" applyFill="1" applyBorder="1" applyAlignment="1">
      <alignment horizontal="center" vertical="center"/>
    </xf>
    <xf numFmtId="0" fontId="17" fillId="3" borderId="29" xfId="0" applyFont="1" applyFill="1" applyBorder="1" applyAlignment="1">
      <alignment horizontal="center" vertical="center"/>
    </xf>
    <xf numFmtId="0" fontId="17" fillId="3" borderId="0" xfId="0" applyFont="1" applyFill="1" applyAlignment="1">
      <alignment horizontal="center" vertical="center"/>
    </xf>
    <xf numFmtId="0" fontId="17" fillId="3" borderId="30" xfId="0" applyFont="1" applyFill="1" applyBorder="1" applyAlignment="1">
      <alignment horizontal="center" vertical="center"/>
    </xf>
    <xf numFmtId="0" fontId="9" fillId="3" borderId="35" xfId="0" applyFont="1" applyFill="1" applyBorder="1" applyAlignment="1">
      <alignment horizontal="center" vertical="center"/>
    </xf>
    <xf numFmtId="0" fontId="9" fillId="3" borderId="36" xfId="0" applyFont="1" applyFill="1" applyBorder="1" applyAlignment="1">
      <alignment horizontal="center" vertical="center"/>
    </xf>
    <xf numFmtId="0" fontId="9" fillId="3" borderId="37" xfId="0" applyFont="1" applyFill="1" applyBorder="1" applyAlignment="1">
      <alignment horizontal="center" vertical="center"/>
    </xf>
    <xf numFmtId="0" fontId="14" fillId="3" borderId="29" xfId="0" applyFont="1" applyFill="1" applyBorder="1" applyAlignment="1">
      <alignment horizontal="center" vertical="center"/>
    </xf>
    <xf numFmtId="0" fontId="14" fillId="3" borderId="0" xfId="0" applyFont="1" applyFill="1" applyAlignment="1">
      <alignment horizontal="center" vertical="center"/>
    </xf>
    <xf numFmtId="0" fontId="14" fillId="3" borderId="30" xfId="0" applyFont="1" applyFill="1" applyBorder="1" applyAlignment="1">
      <alignment horizontal="center" vertical="center"/>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16" fillId="3" borderId="41" xfId="0" applyFont="1" applyFill="1" applyBorder="1" applyAlignment="1">
      <alignment horizontal="center" vertical="center" wrapText="1"/>
    </xf>
    <xf numFmtId="0" fontId="16" fillId="3" borderId="42" xfId="0" applyFont="1" applyFill="1" applyBorder="1" applyAlignment="1">
      <alignment horizontal="center" vertical="center" wrapText="1"/>
    </xf>
    <xf numFmtId="0" fontId="16" fillId="3" borderId="43" xfId="0" applyFont="1" applyFill="1" applyBorder="1" applyAlignment="1">
      <alignment horizontal="center" vertical="center" wrapText="1"/>
    </xf>
    <xf numFmtId="0" fontId="16" fillId="3" borderId="44" xfId="0" applyFont="1" applyFill="1" applyBorder="1" applyAlignment="1">
      <alignment horizontal="center" vertical="center" wrapText="1"/>
    </xf>
    <xf numFmtId="2" fontId="9" fillId="3" borderId="37" xfId="0" applyNumberFormat="1" applyFont="1" applyFill="1" applyBorder="1" applyAlignment="1">
      <alignment horizontal="center" vertical="center" wrapText="1"/>
    </xf>
    <xf numFmtId="2" fontId="9" fillId="3" borderId="45" xfId="0" applyNumberFormat="1" applyFont="1" applyFill="1" applyBorder="1" applyAlignment="1">
      <alignment horizontal="center" vertical="center" wrapText="1"/>
    </xf>
    <xf numFmtId="0" fontId="9" fillId="3" borderId="46" xfId="0" applyFont="1" applyFill="1" applyBorder="1" applyAlignment="1">
      <alignment horizontal="center" vertical="center"/>
    </xf>
    <xf numFmtId="0" fontId="9" fillId="3" borderId="47" xfId="0" applyFont="1" applyFill="1" applyBorder="1" applyAlignment="1">
      <alignment horizontal="center" vertical="center"/>
    </xf>
    <xf numFmtId="0" fontId="9" fillId="3" borderId="40" xfId="0" applyFont="1" applyFill="1" applyBorder="1" applyAlignment="1">
      <alignment horizontal="center" vertical="center"/>
    </xf>
    <xf numFmtId="0" fontId="9" fillId="3" borderId="29" xfId="0" applyFont="1" applyFill="1" applyBorder="1" applyAlignment="1">
      <alignment horizontal="center" vertical="center"/>
    </xf>
    <xf numFmtId="0" fontId="9" fillId="3" borderId="0" xfId="0" applyFont="1" applyFill="1" applyAlignment="1">
      <alignment horizontal="center" vertical="center"/>
    </xf>
    <xf numFmtId="0" fontId="9" fillId="3" borderId="30" xfId="0" applyFont="1" applyFill="1" applyBorder="1" applyAlignment="1">
      <alignment horizontal="center" vertical="center"/>
    </xf>
    <xf numFmtId="0" fontId="9" fillId="3" borderId="31"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32" xfId="0" applyFont="1" applyFill="1" applyBorder="1" applyAlignment="1">
      <alignment horizontal="center" vertical="center"/>
    </xf>
    <xf numFmtId="2" fontId="9" fillId="3" borderId="13" xfId="0" applyNumberFormat="1" applyFont="1" applyFill="1" applyBorder="1" applyAlignment="1">
      <alignment horizontal="center" vertical="center"/>
    </xf>
    <xf numFmtId="2" fontId="9" fillId="3" borderId="33" xfId="0" applyNumberFormat="1"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33" xfId="0" applyBorder="1" applyAlignment="1">
      <alignment horizontal="center" vertical="center"/>
    </xf>
    <xf numFmtId="2" fontId="14" fillId="3" borderId="29" xfId="0" applyNumberFormat="1" applyFont="1" applyFill="1" applyBorder="1" applyAlignment="1">
      <alignment horizontal="center" vertical="center"/>
    </xf>
    <xf numFmtId="2" fontId="14" fillId="3" borderId="0" xfId="0" applyNumberFormat="1" applyFont="1" applyFill="1" applyAlignment="1">
      <alignment horizontal="center" vertical="center"/>
    </xf>
    <xf numFmtId="2" fontId="14" fillId="3" borderId="30" xfId="0" applyNumberFormat="1" applyFont="1" applyFill="1" applyBorder="1" applyAlignment="1">
      <alignment horizontal="center" vertical="center"/>
    </xf>
    <xf numFmtId="0" fontId="9" fillId="3" borderId="21" xfId="0" applyFont="1" applyFill="1" applyBorder="1" applyAlignment="1">
      <alignment horizontal="center" vertical="center"/>
    </xf>
    <xf numFmtId="0" fontId="9" fillId="3" borderId="22" xfId="0" applyFont="1" applyFill="1" applyBorder="1" applyAlignment="1">
      <alignment horizontal="center" vertical="center"/>
    </xf>
    <xf numFmtId="0" fontId="9" fillId="3" borderId="23" xfId="0" applyFont="1" applyFill="1" applyBorder="1" applyAlignment="1">
      <alignment horizontal="center" vertical="center"/>
    </xf>
    <xf numFmtId="0" fontId="6" fillId="3" borderId="0" xfId="0" applyFont="1" applyFill="1" applyAlignment="1">
      <alignment horizontal="center" wrapText="1"/>
    </xf>
    <xf numFmtId="0" fontId="8" fillId="3" borderId="1"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9" xfId="0" applyFill="1" applyBorder="1" applyAlignment="1">
      <alignment horizontal="center" vertical="center"/>
    </xf>
    <xf numFmtId="0" fontId="0" fillId="3" borderId="10" xfId="0" applyFill="1" applyBorder="1" applyAlignment="1">
      <alignment horizontal="center" vertical="center"/>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14" xfId="0" applyFill="1"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cellXfs>
  <cellStyles count="2">
    <cellStyle name="Normal" xfId="0" builtinId="0"/>
    <cellStyle name="Normal_cálculo de flechas en vigas de hormigón, v1.03" xfId="1" xr:uid="{589B519A-B2BE-4C03-9F7D-DB512AFA6657}"/>
  </cellStyles>
  <dxfs count="13">
    <dxf>
      <fill>
        <patternFill>
          <bgColor indexed="10"/>
        </patternFill>
      </fill>
    </dxf>
    <dxf>
      <fill>
        <patternFill>
          <bgColor indexed="11"/>
        </patternFill>
      </fill>
    </dxf>
    <dxf>
      <fill>
        <patternFill>
          <bgColor indexed="10"/>
        </patternFill>
      </fill>
    </dxf>
    <dxf>
      <fill>
        <patternFill>
          <bgColor indexed="11"/>
        </patternFill>
      </fill>
    </dxf>
    <dxf>
      <fill>
        <patternFill>
          <bgColor indexed="10"/>
        </patternFill>
      </fill>
    </dxf>
    <dxf>
      <fill>
        <patternFill>
          <bgColor indexed="10"/>
        </patternFill>
      </fill>
    </dxf>
    <dxf>
      <fill>
        <patternFill>
          <bgColor indexed="11"/>
        </patternFill>
      </fill>
    </dxf>
    <dxf>
      <fill>
        <patternFill>
          <bgColor indexed="10"/>
        </patternFill>
      </fill>
    </dxf>
    <dxf>
      <fill>
        <patternFill>
          <bgColor indexed="11"/>
        </patternFill>
      </fill>
    </dxf>
    <dxf>
      <fill>
        <patternFill>
          <bgColor indexed="10"/>
        </patternFill>
      </fill>
    </dxf>
    <dxf>
      <fill>
        <patternFill>
          <bgColor indexed="11"/>
        </patternFill>
      </fill>
    </dxf>
    <dxf>
      <fill>
        <patternFill>
          <bgColor indexed="10"/>
        </patternFill>
      </fill>
    </dxf>
    <dxf>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358705161854749E-2"/>
          <c:y val="5.5555555555555552E-2"/>
          <c:w val="0.89019685039370078"/>
          <c:h val="0.8416746864975212"/>
        </c:manualLayout>
      </c:layout>
      <c:lineChart>
        <c:grouping val="standard"/>
        <c:varyColors val="0"/>
        <c:ser>
          <c:idx val="0"/>
          <c:order val="0"/>
          <c:tx>
            <c:v>TIRANTE</c:v>
          </c:tx>
          <c:spPr>
            <a:ln w="28575" cap="rnd">
              <a:solidFill>
                <a:schemeClr val="accent1"/>
              </a:solidFill>
              <a:round/>
            </a:ln>
            <a:effectLst/>
          </c:spPr>
          <c:marker>
            <c:symbol val="none"/>
          </c:marker>
          <c:cat>
            <c:numRef>
              <c:f>(CE!$B$37,CE!$B$40,CE!$B$43,CE!$B$46,CE!$B$49,CE!$B$52,CE!$B$55,CE!$B$58,CE!$B$61)</c:f>
              <c:numCache>
                <c:formatCode>General</c:formatCode>
                <c:ptCount val="9"/>
                <c:pt idx="0">
                  <c:v>26.5</c:v>
                </c:pt>
                <c:pt idx="1">
                  <c:v>30</c:v>
                </c:pt>
                <c:pt idx="2">
                  <c:v>35</c:v>
                </c:pt>
                <c:pt idx="3">
                  <c:v>40</c:v>
                </c:pt>
                <c:pt idx="4">
                  <c:v>45</c:v>
                </c:pt>
                <c:pt idx="5">
                  <c:v>50</c:v>
                </c:pt>
                <c:pt idx="6">
                  <c:v>55</c:v>
                </c:pt>
                <c:pt idx="7">
                  <c:v>60</c:v>
                </c:pt>
                <c:pt idx="8">
                  <c:v>63</c:v>
                </c:pt>
              </c:numCache>
            </c:numRef>
          </c:cat>
          <c:val>
            <c:numRef>
              <c:f>(CE!$E$36,CE!$E$39,CE!$E$42,CE!$E$45,CE!$E$48,CE!$E$51,CE!$E$54,CE!$E$57,CE!$E$60)</c:f>
              <c:numCache>
                <c:formatCode>0.0</c:formatCode>
                <c:ptCount val="9"/>
                <c:pt idx="0">
                  <c:v>295.87586335108557</c:v>
                </c:pt>
                <c:pt idx="1">
                  <c:v>255.50912783125509</c:v>
                </c:pt>
                <c:pt idx="2">
                  <c:v>210.67791430945778</c:v>
                </c:pt>
                <c:pt idx="3">
                  <c:v>175.80542077799439</c:v>
                </c:pt>
                <c:pt idx="4">
                  <c:v>147.51826373378162</c:v>
                </c:pt>
                <c:pt idx="5">
                  <c:v>123.78252069092888</c:v>
                </c:pt>
                <c:pt idx="6">
                  <c:v>103.29340029000194</c:v>
                </c:pt>
                <c:pt idx="7">
                  <c:v>85.169709277085047</c:v>
                </c:pt>
                <c:pt idx="8">
                  <c:v>75.16430963759278</c:v>
                </c:pt>
              </c:numCache>
            </c:numRef>
          </c:val>
          <c:smooth val="0"/>
          <c:extLst>
            <c:ext xmlns:c16="http://schemas.microsoft.com/office/drawing/2014/chart" uri="{C3380CC4-5D6E-409C-BE32-E72D297353CC}">
              <c16:uniqueId val="{00000002-97C3-404B-9C14-EC5A35611323}"/>
            </c:ext>
          </c:extLst>
        </c:ser>
        <c:ser>
          <c:idx val="1"/>
          <c:order val="1"/>
          <c:tx>
            <c:v>BIELA</c:v>
          </c:tx>
          <c:spPr>
            <a:ln w="28575" cap="rnd">
              <a:solidFill>
                <a:srgbClr val="FF0000"/>
              </a:solidFill>
              <a:round/>
            </a:ln>
            <a:effectLst/>
          </c:spPr>
          <c:marker>
            <c:symbol val="none"/>
          </c:marker>
          <c:cat>
            <c:numRef>
              <c:f>(CE!$B$37,CE!$B$40,CE!$B$43,CE!$B$46,CE!$B$49,CE!$B$52,CE!$B$55,CE!$B$58,CE!$B$61)</c:f>
              <c:numCache>
                <c:formatCode>General</c:formatCode>
                <c:ptCount val="9"/>
                <c:pt idx="0">
                  <c:v>26.5</c:v>
                </c:pt>
                <c:pt idx="1">
                  <c:v>30</c:v>
                </c:pt>
                <c:pt idx="2">
                  <c:v>35</c:v>
                </c:pt>
                <c:pt idx="3">
                  <c:v>40</c:v>
                </c:pt>
                <c:pt idx="4">
                  <c:v>45</c:v>
                </c:pt>
                <c:pt idx="5">
                  <c:v>50</c:v>
                </c:pt>
                <c:pt idx="6">
                  <c:v>55</c:v>
                </c:pt>
                <c:pt idx="7">
                  <c:v>60</c:v>
                </c:pt>
                <c:pt idx="8">
                  <c:v>63</c:v>
                </c:pt>
              </c:numCache>
            </c:numRef>
          </c:cat>
          <c:val>
            <c:numRef>
              <c:f>(CE!$E$37,CE!$E$40,CE!$E$43,CE!$E$46,CE!$E$49,CE!$E$52,CE!$E$55,CE!$E$58,CE!$E$61)</c:f>
              <c:numCache>
                <c:formatCode>0.0</c:formatCode>
                <c:ptCount val="9"/>
                <c:pt idx="0">
                  <c:v>161.7236907845768</c:v>
                </c:pt>
                <c:pt idx="1">
                  <c:v>175.37014426634883</c:v>
                </c:pt>
                <c:pt idx="2">
                  <c:v>190.28775570914647</c:v>
                </c:pt>
                <c:pt idx="3">
                  <c:v>199.42356998497215</c:v>
                </c:pt>
                <c:pt idx="4">
                  <c:v>202.5</c:v>
                </c:pt>
                <c:pt idx="5">
                  <c:v>199.42356998497215</c:v>
                </c:pt>
                <c:pt idx="6">
                  <c:v>190.28775570914647</c:v>
                </c:pt>
                <c:pt idx="7">
                  <c:v>175.37014426634883</c:v>
                </c:pt>
                <c:pt idx="8">
                  <c:v>163.82594136092686</c:v>
                </c:pt>
              </c:numCache>
            </c:numRef>
          </c:val>
          <c:smooth val="0"/>
          <c:extLst>
            <c:ext xmlns:c16="http://schemas.microsoft.com/office/drawing/2014/chart" uri="{C3380CC4-5D6E-409C-BE32-E72D297353CC}">
              <c16:uniqueId val="{00000003-97C3-404B-9C14-EC5A35611323}"/>
            </c:ext>
          </c:extLst>
        </c:ser>
        <c:ser>
          <c:idx val="4"/>
          <c:order val="4"/>
          <c:tx>
            <c:v>SIN ARMADURA</c:v>
          </c:tx>
          <c:spPr>
            <a:ln w="28575" cap="rnd">
              <a:solidFill>
                <a:schemeClr val="bg1">
                  <a:lumMod val="65000"/>
                </a:schemeClr>
              </a:solidFill>
              <a:round/>
            </a:ln>
            <a:effectLst/>
          </c:spPr>
          <c:marker>
            <c:symbol val="none"/>
          </c:marker>
          <c:val>
            <c:numRef>
              <c:f>(CE!$E$38,CE!$E$41,CE!$E$44,CE!$E$47,CE!$E$50,CE!$E$53,CE!$E$56,CE!$E$59,CE!$E$62)</c:f>
              <c:numCache>
                <c:formatCode>0.0</c:formatCode>
                <c:ptCount val="9"/>
                <c:pt idx="0">
                  <c:v>38.941778579846051</c:v>
                </c:pt>
                <c:pt idx="1">
                  <c:v>38.941778579846051</c:v>
                </c:pt>
                <c:pt idx="2">
                  <c:v>38.941778579846051</c:v>
                </c:pt>
                <c:pt idx="3">
                  <c:v>38.941778579846051</c:v>
                </c:pt>
                <c:pt idx="4">
                  <c:v>38.941778579846051</c:v>
                </c:pt>
                <c:pt idx="5">
                  <c:v>38.941778579846051</c:v>
                </c:pt>
                <c:pt idx="6">
                  <c:v>38.941778579846051</c:v>
                </c:pt>
                <c:pt idx="7">
                  <c:v>38.941778579846051</c:v>
                </c:pt>
                <c:pt idx="8">
                  <c:v>38.941778579846051</c:v>
                </c:pt>
              </c:numCache>
            </c:numRef>
          </c:val>
          <c:smooth val="0"/>
          <c:extLst>
            <c:ext xmlns:c16="http://schemas.microsoft.com/office/drawing/2014/chart" uri="{C3380CC4-5D6E-409C-BE32-E72D297353CC}">
              <c16:uniqueId val="{00000001-8BB6-41E1-B388-CFB379CAF1E1}"/>
            </c:ext>
          </c:extLst>
        </c:ser>
        <c:dLbls>
          <c:showLegendKey val="0"/>
          <c:showVal val="0"/>
          <c:showCatName val="0"/>
          <c:showSerName val="0"/>
          <c:showPercent val="0"/>
          <c:showBubbleSize val="0"/>
        </c:dLbls>
        <c:smooth val="0"/>
        <c:axId val="1676521840"/>
        <c:axId val="1676523088"/>
        <c:extLst>
          <c:ext xmlns:c15="http://schemas.microsoft.com/office/drawing/2012/chart" uri="{02D57815-91ED-43cb-92C2-25804820EDAC}">
            <c15:filteredLineSeries>
              <c15:ser>
                <c:idx val="2"/>
                <c:order val="2"/>
                <c:tx>
                  <c:v>TIRANTE EHE</c:v>
                </c:tx>
                <c:spPr>
                  <a:ln w="28575" cap="rnd">
                    <a:solidFill>
                      <a:srgbClr val="0070C0"/>
                    </a:solidFill>
                    <a:prstDash val="dash"/>
                    <a:round/>
                  </a:ln>
                  <a:effectLst/>
                </c:spPr>
                <c:marker>
                  <c:symbol val="none"/>
                </c:marker>
                <c:cat>
                  <c:numRef>
                    <c:extLst>
                      <c:ext uri="{02D57815-91ED-43cb-92C2-25804820EDAC}">
                        <c15:formulaRef>
                          <c15:sqref>(CE!$B$37,CE!$B$40,CE!$B$43,CE!$B$46,CE!$B$49,CE!$B$52,CE!$B$55,CE!$B$58,CE!$B$61)</c15:sqref>
                        </c15:formulaRef>
                      </c:ext>
                    </c:extLst>
                    <c:numCache>
                      <c:formatCode>General</c:formatCode>
                      <c:ptCount val="9"/>
                      <c:pt idx="0">
                        <c:v>26.5</c:v>
                      </c:pt>
                      <c:pt idx="1">
                        <c:v>30</c:v>
                      </c:pt>
                      <c:pt idx="2">
                        <c:v>35</c:v>
                      </c:pt>
                      <c:pt idx="3">
                        <c:v>40</c:v>
                      </c:pt>
                      <c:pt idx="4">
                        <c:v>45</c:v>
                      </c:pt>
                      <c:pt idx="5">
                        <c:v>50</c:v>
                      </c:pt>
                      <c:pt idx="6">
                        <c:v>55</c:v>
                      </c:pt>
                      <c:pt idx="7">
                        <c:v>60</c:v>
                      </c:pt>
                      <c:pt idx="8">
                        <c:v>63</c:v>
                      </c:pt>
                    </c:numCache>
                  </c:numRef>
                </c:cat>
                <c:val>
                  <c:numRef>
                    <c:extLst>
                      <c:ext uri="{02D57815-91ED-43cb-92C2-25804820EDAC}">
                        <c15:formulaRef>
                          <c15:sqref>(CE!$I$36,CE!$I$39,CE!$I$42,CE!$I$45,CE!$I$48,CE!$I$51,CE!$I$54,CE!$I$57,CE!$I$60)</c15:sqref>
                        </c15:formulaRef>
                      </c:ext>
                    </c:extLst>
                    <c:numCache>
                      <c:formatCode>0.0</c:formatCode>
                      <c:ptCount val="9"/>
                      <c:pt idx="0">
                        <c:v>304.79898597476461</c:v>
                      </c:pt>
                      <c:pt idx="1">
                        <c:v>267.66158929652056</c:v>
                      </c:pt>
                      <c:pt idx="2">
                        <c:v>228.27179187750701</c:v>
                      </c:pt>
                      <c:pt idx="3">
                        <c:v>198.02871188352509</c:v>
                      </c:pt>
                      <c:pt idx="4">
                        <c:v>168.30999432684499</c:v>
                      </c:pt>
                      <c:pt idx="5">
                        <c:v>146.47311072742048</c:v>
                      </c:pt>
                      <c:pt idx="6">
                        <c:v>127.62311995856771</c:v>
                      </c:pt>
                      <c:pt idx="7">
                        <c:v>110.94932422668417</c:v>
                      </c:pt>
                      <c:pt idx="8">
                        <c:v>101.7443565583513</c:v>
                      </c:pt>
                    </c:numCache>
                  </c:numRef>
                </c:val>
                <c:smooth val="0"/>
                <c:extLst>
                  <c:ext xmlns:c16="http://schemas.microsoft.com/office/drawing/2014/chart" uri="{C3380CC4-5D6E-409C-BE32-E72D297353CC}">
                    <c16:uniqueId val="{00000004-97C3-404B-9C14-EC5A35611323}"/>
                  </c:ext>
                </c:extLst>
              </c15:ser>
            </c15:filteredLineSeries>
            <c15:filteredLineSeries>
              <c15:ser>
                <c:idx val="3"/>
                <c:order val="3"/>
                <c:tx>
                  <c:v>BIELA EHE</c:v>
                </c:tx>
                <c:spPr>
                  <a:ln w="28575" cap="rnd">
                    <a:solidFill>
                      <a:srgbClr val="FF0000"/>
                    </a:solidFill>
                    <a:prstDash val="dash"/>
                    <a:round/>
                  </a:ln>
                  <a:effectLst/>
                </c:spPr>
                <c:marker>
                  <c:symbol val="none"/>
                </c:marker>
                <c:cat>
                  <c:numRef>
                    <c:extLst xmlns:c15="http://schemas.microsoft.com/office/drawing/2012/chart">
                      <c:ext xmlns:c15="http://schemas.microsoft.com/office/drawing/2012/chart" uri="{02D57815-91ED-43cb-92C2-25804820EDAC}">
                        <c15:formulaRef>
                          <c15:sqref>(CE!$B$37,CE!$B$40,CE!$B$43,CE!$B$46,CE!$B$49,CE!$B$52,CE!$B$55,CE!$B$58,CE!$B$61)</c15:sqref>
                        </c15:formulaRef>
                      </c:ext>
                    </c:extLst>
                    <c:numCache>
                      <c:formatCode>General</c:formatCode>
                      <c:ptCount val="9"/>
                      <c:pt idx="0">
                        <c:v>26.5</c:v>
                      </c:pt>
                      <c:pt idx="1">
                        <c:v>30</c:v>
                      </c:pt>
                      <c:pt idx="2">
                        <c:v>35</c:v>
                      </c:pt>
                      <c:pt idx="3">
                        <c:v>40</c:v>
                      </c:pt>
                      <c:pt idx="4">
                        <c:v>45</c:v>
                      </c:pt>
                      <c:pt idx="5">
                        <c:v>50</c:v>
                      </c:pt>
                      <c:pt idx="6">
                        <c:v>55</c:v>
                      </c:pt>
                      <c:pt idx="7">
                        <c:v>60</c:v>
                      </c:pt>
                      <c:pt idx="8">
                        <c:v>63</c:v>
                      </c:pt>
                    </c:numCache>
                  </c:numRef>
                </c:cat>
                <c:val>
                  <c:numRef>
                    <c:extLst xmlns:c15="http://schemas.microsoft.com/office/drawing/2012/chart">
                      <c:ext xmlns:c15="http://schemas.microsoft.com/office/drawing/2012/chart" uri="{02D57815-91ED-43cb-92C2-25804820EDAC}">
                        <c15:formulaRef>
                          <c15:sqref>(CE!$I$37,CE!$I$40,CE!$I$43,CE!$I$46,CE!$I$49,CE!$I$52,CE!$I$55,CE!$I$58,CE!$I$61)</c15:sqref>
                        </c15:formulaRef>
                      </c:ext>
                    </c:extLst>
                    <c:numCache>
                      <c:formatCode>0.0</c:formatCode>
                      <c:ptCount val="9"/>
                      <c:pt idx="0">
                        <c:v>199.65887751182322</c:v>
                      </c:pt>
                      <c:pt idx="1">
                        <c:v>216.50635094610968</c:v>
                      </c:pt>
                      <c:pt idx="2">
                        <c:v>234.92315519647707</c:v>
                      </c:pt>
                      <c:pt idx="3">
                        <c:v>246.20193825305205</c:v>
                      </c:pt>
                      <c:pt idx="4">
                        <c:v>250</c:v>
                      </c:pt>
                      <c:pt idx="5">
                        <c:v>246.20193825305205</c:v>
                      </c:pt>
                      <c:pt idx="6">
                        <c:v>234.92315519647713</c:v>
                      </c:pt>
                      <c:pt idx="7">
                        <c:v>216.50635094610976</c:v>
                      </c:pt>
                      <c:pt idx="8">
                        <c:v>202.25424859373695</c:v>
                      </c:pt>
                    </c:numCache>
                  </c:numRef>
                </c:val>
                <c:smooth val="0"/>
                <c:extLst xmlns:c15="http://schemas.microsoft.com/office/drawing/2012/chart">
                  <c:ext xmlns:c16="http://schemas.microsoft.com/office/drawing/2014/chart" uri="{C3380CC4-5D6E-409C-BE32-E72D297353CC}">
                    <c16:uniqueId val="{00000005-97C3-404B-9C14-EC5A35611323}"/>
                  </c:ext>
                </c:extLst>
              </c15:ser>
            </c15:filteredLineSeries>
            <c15:filteredLineSeries>
              <c15:ser>
                <c:idx val="5"/>
                <c:order val="5"/>
                <c:tx>
                  <c:v>SIN ARMADURA EHE</c:v>
                </c:tx>
                <c:spPr>
                  <a:ln w="28575" cap="rnd">
                    <a:solidFill>
                      <a:schemeClr val="bg1">
                        <a:lumMod val="65000"/>
                      </a:schemeClr>
                    </a:solidFill>
                    <a:prstDash val="dash"/>
                    <a:round/>
                  </a:ln>
                  <a:effectLst/>
                </c:spPr>
                <c:marker>
                  <c:symbol val="none"/>
                </c:marker>
                <c:val>
                  <c:numRef>
                    <c:extLst xmlns:c15="http://schemas.microsoft.com/office/drawing/2012/chart">
                      <c:ext xmlns:c15="http://schemas.microsoft.com/office/drawing/2012/chart" uri="{02D57815-91ED-43cb-92C2-25804820EDAC}">
                        <c15:formulaRef>
                          <c15:sqref>(CE!$I$38,CE!$I$41,CE!$I$44,CE!$I$47,CE!$I$53,CE!$I$56,CE!$I$59,CE!$I$62)</c15:sqref>
                        </c15:formulaRef>
                      </c:ext>
                    </c:extLst>
                    <c:numCache>
                      <c:formatCode>0.0</c:formatCode>
                      <c:ptCount val="8"/>
                      <c:pt idx="0">
                        <c:v>38.941778579846051</c:v>
                      </c:pt>
                      <c:pt idx="1">
                        <c:v>38.941778579846051</c:v>
                      </c:pt>
                      <c:pt idx="2">
                        <c:v>38.941778579846051</c:v>
                      </c:pt>
                      <c:pt idx="3">
                        <c:v>38.941778579846051</c:v>
                      </c:pt>
                      <c:pt idx="4">
                        <c:v>38.941778579846051</c:v>
                      </c:pt>
                      <c:pt idx="5">
                        <c:v>38.941778579846051</c:v>
                      </c:pt>
                      <c:pt idx="6">
                        <c:v>38.941778579846051</c:v>
                      </c:pt>
                      <c:pt idx="7">
                        <c:v>38.941778579846051</c:v>
                      </c:pt>
                    </c:numCache>
                  </c:numRef>
                </c:val>
                <c:smooth val="0"/>
                <c:extLst xmlns:c15="http://schemas.microsoft.com/office/drawing/2012/chart">
                  <c:ext xmlns:c16="http://schemas.microsoft.com/office/drawing/2014/chart" uri="{C3380CC4-5D6E-409C-BE32-E72D297353CC}">
                    <c16:uniqueId val="{00000002-8BB6-41E1-B388-CFB379CAF1E1}"/>
                  </c:ext>
                </c:extLst>
              </c15:ser>
            </c15:filteredLineSeries>
          </c:ext>
        </c:extLst>
      </c:lineChart>
      <c:catAx>
        <c:axId val="16765218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676523088"/>
        <c:crosses val="autoZero"/>
        <c:auto val="1"/>
        <c:lblAlgn val="ctr"/>
        <c:lblOffset val="100"/>
        <c:noMultiLvlLbl val="0"/>
      </c:catAx>
      <c:valAx>
        <c:axId val="167652308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676521840"/>
        <c:crosses val="autoZero"/>
        <c:crossBetween val="between"/>
      </c:valAx>
      <c:spPr>
        <a:noFill/>
        <a:ln>
          <a:noFill/>
        </a:ln>
        <a:effectLst/>
      </c:spPr>
    </c:plotArea>
    <c:legend>
      <c:legendPos val="r"/>
      <c:layout>
        <c:manualLayout>
          <c:xMode val="edge"/>
          <c:yMode val="edge"/>
          <c:x val="9.4595380709041776E-2"/>
          <c:y val="2.7452217755005111E-2"/>
          <c:w val="0.83317953578749959"/>
          <c:h val="0.1132227840963079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358705161854749E-2"/>
          <c:y val="5.5555555555555552E-2"/>
          <c:w val="0.89019685039370078"/>
          <c:h val="0.8416746864975212"/>
        </c:manualLayout>
      </c:layout>
      <c:lineChart>
        <c:grouping val="standard"/>
        <c:varyColors val="0"/>
        <c:ser>
          <c:idx val="0"/>
          <c:order val="0"/>
          <c:tx>
            <c:v>TIRANTE</c:v>
          </c:tx>
          <c:spPr>
            <a:ln w="28575" cap="rnd">
              <a:solidFill>
                <a:schemeClr val="accent1"/>
              </a:solidFill>
              <a:round/>
            </a:ln>
            <a:effectLst/>
          </c:spPr>
          <c:marker>
            <c:symbol val="none"/>
          </c:marker>
          <c:cat>
            <c:numRef>
              <c:f>('CE (2)'!$B$36,'CE (2)'!$B$39,'CE (2)'!$B$42,'CE (2)'!$B$45,'CE (2)'!$B$48,'CE (2)'!$B$51,'CE (2)'!$B$54,'CE (2)'!$B$57,'CE (2)'!$B$60)</c:f>
              <c:numCache>
                <c:formatCode>General</c:formatCode>
                <c:ptCount val="9"/>
                <c:pt idx="0">
                  <c:v>26.5</c:v>
                </c:pt>
                <c:pt idx="1">
                  <c:v>30</c:v>
                </c:pt>
                <c:pt idx="2">
                  <c:v>35</c:v>
                </c:pt>
                <c:pt idx="3">
                  <c:v>40</c:v>
                </c:pt>
                <c:pt idx="4">
                  <c:v>45</c:v>
                </c:pt>
                <c:pt idx="5">
                  <c:v>50</c:v>
                </c:pt>
                <c:pt idx="6">
                  <c:v>55</c:v>
                </c:pt>
                <c:pt idx="7">
                  <c:v>60</c:v>
                </c:pt>
                <c:pt idx="8">
                  <c:v>63</c:v>
                </c:pt>
              </c:numCache>
            </c:numRef>
          </c:cat>
          <c:val>
            <c:numRef>
              <c:f>('CE (2)'!$E$35,'CE (2)'!$E$38,'CE (2)'!$E$41,'CE (2)'!$E$44,'CE (2)'!$E$47,'CE (2)'!$E$50,'CE (2)'!$E$53,'CE (2)'!$E$56,'CE (2)'!$E$59)</c:f>
              <c:numCache>
                <c:formatCode>0.0</c:formatCode>
                <c:ptCount val="9"/>
                <c:pt idx="0">
                  <c:v>199.71620776198276</c:v>
                </c:pt>
                <c:pt idx="1">
                  <c:v>172.46866128609716</c:v>
                </c:pt>
                <c:pt idx="2">
                  <c:v>142.20759215888398</c:v>
                </c:pt>
                <c:pt idx="3">
                  <c:v>118.6686590251462</c:v>
                </c:pt>
                <c:pt idx="4">
                  <c:v>99.574828020302576</c:v>
                </c:pt>
                <c:pt idx="5">
                  <c:v>83.553201466376976</c:v>
                </c:pt>
                <c:pt idx="6">
                  <c:v>69.723045195751297</c:v>
                </c:pt>
                <c:pt idx="7">
                  <c:v>57.489553762032394</c:v>
                </c:pt>
                <c:pt idx="8">
                  <c:v>50.73590900537512</c:v>
                </c:pt>
              </c:numCache>
            </c:numRef>
          </c:val>
          <c:smooth val="0"/>
          <c:extLst>
            <c:ext xmlns:c16="http://schemas.microsoft.com/office/drawing/2014/chart" uri="{C3380CC4-5D6E-409C-BE32-E72D297353CC}">
              <c16:uniqueId val="{00000000-FA1D-48A1-A31C-D1399C6DD5FA}"/>
            </c:ext>
          </c:extLst>
        </c:ser>
        <c:ser>
          <c:idx val="1"/>
          <c:order val="1"/>
          <c:tx>
            <c:v>BIELA</c:v>
          </c:tx>
          <c:spPr>
            <a:ln w="28575" cap="rnd">
              <a:solidFill>
                <a:srgbClr val="FF0000"/>
              </a:solidFill>
              <a:round/>
            </a:ln>
            <a:effectLst/>
          </c:spPr>
          <c:marker>
            <c:symbol val="none"/>
          </c:marker>
          <c:cat>
            <c:numRef>
              <c:f>('CE (2)'!$B$36,'CE (2)'!$B$39,'CE (2)'!$B$42,'CE (2)'!$B$45,'CE (2)'!$B$48,'CE (2)'!$B$51,'CE (2)'!$B$54,'CE (2)'!$B$57,'CE (2)'!$B$60)</c:f>
              <c:numCache>
                <c:formatCode>General</c:formatCode>
                <c:ptCount val="9"/>
                <c:pt idx="0">
                  <c:v>26.5</c:v>
                </c:pt>
                <c:pt idx="1">
                  <c:v>30</c:v>
                </c:pt>
                <c:pt idx="2">
                  <c:v>35</c:v>
                </c:pt>
                <c:pt idx="3">
                  <c:v>40</c:v>
                </c:pt>
                <c:pt idx="4">
                  <c:v>45</c:v>
                </c:pt>
                <c:pt idx="5">
                  <c:v>50</c:v>
                </c:pt>
                <c:pt idx="6">
                  <c:v>55</c:v>
                </c:pt>
                <c:pt idx="7">
                  <c:v>60</c:v>
                </c:pt>
                <c:pt idx="8">
                  <c:v>63</c:v>
                </c:pt>
              </c:numCache>
            </c:numRef>
          </c:cat>
          <c:val>
            <c:numRef>
              <c:f>('CE (2)'!$E$36,'CE (2)'!$E$39,'CE (2)'!$E$42,'CE (2)'!$E$45,'CE (2)'!$E$48,'CE (2)'!$E$51,'CE (2)'!$E$54,'CE (2)'!$E$57,'CE (2)'!$E$60)</c:f>
              <c:numCache>
                <c:formatCode>0.0</c:formatCode>
                <c:ptCount val="9"/>
                <c:pt idx="0">
                  <c:v>363.87830426529791</c:v>
                </c:pt>
                <c:pt idx="1">
                  <c:v>394.58282459928489</c:v>
                </c:pt>
                <c:pt idx="2">
                  <c:v>428.14745034557961</c:v>
                </c:pt>
                <c:pt idx="3">
                  <c:v>448.70303246618738</c:v>
                </c:pt>
                <c:pt idx="4">
                  <c:v>455.62500000000006</c:v>
                </c:pt>
                <c:pt idx="5">
                  <c:v>448.70303246618738</c:v>
                </c:pt>
                <c:pt idx="6">
                  <c:v>428.14745034557961</c:v>
                </c:pt>
                <c:pt idx="7">
                  <c:v>394.58282459928489</c:v>
                </c:pt>
                <c:pt idx="8">
                  <c:v>368.60836806208545</c:v>
                </c:pt>
              </c:numCache>
            </c:numRef>
          </c:val>
          <c:smooth val="0"/>
          <c:extLst>
            <c:ext xmlns:c16="http://schemas.microsoft.com/office/drawing/2014/chart" uri="{C3380CC4-5D6E-409C-BE32-E72D297353CC}">
              <c16:uniqueId val="{00000001-FA1D-48A1-A31C-D1399C6DD5FA}"/>
            </c:ext>
          </c:extLst>
        </c:ser>
        <c:ser>
          <c:idx val="2"/>
          <c:order val="2"/>
          <c:tx>
            <c:v>TIRANTE EHE</c:v>
          </c:tx>
          <c:spPr>
            <a:ln w="28575" cap="rnd">
              <a:solidFill>
                <a:srgbClr val="0070C0"/>
              </a:solidFill>
              <a:prstDash val="dash"/>
              <a:round/>
            </a:ln>
            <a:effectLst/>
          </c:spPr>
          <c:marker>
            <c:symbol val="none"/>
          </c:marker>
          <c:cat>
            <c:numRef>
              <c:f>('CE (2)'!$B$36,'CE (2)'!$B$39,'CE (2)'!$B$42,'CE (2)'!$B$45,'CE (2)'!$B$48,'CE (2)'!$B$51,'CE (2)'!$B$54,'CE (2)'!$B$57,'CE (2)'!$B$60)</c:f>
              <c:numCache>
                <c:formatCode>General</c:formatCode>
                <c:ptCount val="9"/>
                <c:pt idx="0">
                  <c:v>26.5</c:v>
                </c:pt>
                <c:pt idx="1">
                  <c:v>30</c:v>
                </c:pt>
                <c:pt idx="2">
                  <c:v>35</c:v>
                </c:pt>
                <c:pt idx="3">
                  <c:v>40</c:v>
                </c:pt>
                <c:pt idx="4">
                  <c:v>45</c:v>
                </c:pt>
                <c:pt idx="5">
                  <c:v>50</c:v>
                </c:pt>
                <c:pt idx="6">
                  <c:v>55</c:v>
                </c:pt>
                <c:pt idx="7">
                  <c:v>60</c:v>
                </c:pt>
                <c:pt idx="8">
                  <c:v>63</c:v>
                </c:pt>
              </c:numCache>
            </c:numRef>
          </c:cat>
          <c:val>
            <c:numRef>
              <c:f>('CE (2)'!$I$35,'CE (2)'!$I$38,'CE (2)'!$I$41,'CE (2)'!$I$44,'CE (2)'!$I$47,'CE (2)'!$I$50,'CE (2)'!$I$53,'CE (2)'!$I$56,'CE (2)'!$I$59)</c:f>
              <c:numCache>
                <c:formatCode>0.0</c:formatCode>
                <c:ptCount val="9"/>
                <c:pt idx="0">
                  <c:v>260.23157254647367</c:v>
                </c:pt>
                <c:pt idx="1">
                  <c:v>232.98402607058804</c:v>
                </c:pt>
                <c:pt idx="2">
                  <c:v>202.72295694337487</c:v>
                </c:pt>
                <c:pt idx="3">
                  <c:v>179.1840238096371</c:v>
                </c:pt>
                <c:pt idx="4">
                  <c:v>160.09019280479345</c:v>
                </c:pt>
                <c:pt idx="5">
                  <c:v>144.06856625086786</c:v>
                </c:pt>
                <c:pt idx="6">
                  <c:v>130.23840998024218</c:v>
                </c:pt>
                <c:pt idx="7">
                  <c:v>118.0049185465233</c:v>
                </c:pt>
                <c:pt idx="8">
                  <c:v>111.25127378986602</c:v>
                </c:pt>
              </c:numCache>
            </c:numRef>
          </c:val>
          <c:smooth val="0"/>
          <c:extLst>
            <c:ext xmlns:c16="http://schemas.microsoft.com/office/drawing/2014/chart" uri="{C3380CC4-5D6E-409C-BE32-E72D297353CC}">
              <c16:uniqueId val="{00000002-FA1D-48A1-A31C-D1399C6DD5FA}"/>
            </c:ext>
          </c:extLst>
        </c:ser>
        <c:ser>
          <c:idx val="3"/>
          <c:order val="3"/>
          <c:tx>
            <c:v>BIELA EHE</c:v>
          </c:tx>
          <c:spPr>
            <a:ln w="28575" cap="rnd">
              <a:solidFill>
                <a:srgbClr val="FF0000"/>
              </a:solidFill>
              <a:prstDash val="dash"/>
              <a:round/>
            </a:ln>
            <a:effectLst/>
          </c:spPr>
          <c:marker>
            <c:symbol val="none"/>
          </c:marker>
          <c:cat>
            <c:numRef>
              <c:f>('CE (2)'!$B$36,'CE (2)'!$B$39,'CE (2)'!$B$42,'CE (2)'!$B$45,'CE (2)'!$B$48,'CE (2)'!$B$51,'CE (2)'!$B$54,'CE (2)'!$B$57,'CE (2)'!$B$60)</c:f>
              <c:numCache>
                <c:formatCode>General</c:formatCode>
                <c:ptCount val="9"/>
                <c:pt idx="0">
                  <c:v>26.5</c:v>
                </c:pt>
                <c:pt idx="1">
                  <c:v>30</c:v>
                </c:pt>
                <c:pt idx="2">
                  <c:v>35</c:v>
                </c:pt>
                <c:pt idx="3">
                  <c:v>40</c:v>
                </c:pt>
                <c:pt idx="4">
                  <c:v>45</c:v>
                </c:pt>
                <c:pt idx="5">
                  <c:v>50</c:v>
                </c:pt>
                <c:pt idx="6">
                  <c:v>55</c:v>
                </c:pt>
                <c:pt idx="7">
                  <c:v>60</c:v>
                </c:pt>
                <c:pt idx="8">
                  <c:v>63</c:v>
                </c:pt>
              </c:numCache>
            </c:numRef>
          </c:cat>
          <c:val>
            <c:numRef>
              <c:f>('CE (2)'!$I$36,'CE (2)'!$I$39,'CE (2)'!$I$42,'CE (2)'!$I$45,'CE (2)'!$I$48,'CE (2)'!$I$51,'CE (2)'!$I$54,'CE (2)'!$I$57,'CE (2)'!$I$60)</c:f>
              <c:numCache>
                <c:formatCode>0.0</c:formatCode>
                <c:ptCount val="9"/>
                <c:pt idx="0">
                  <c:v>449.23247440160225</c:v>
                </c:pt>
                <c:pt idx="1">
                  <c:v>487.13928962874672</c:v>
                </c:pt>
                <c:pt idx="2">
                  <c:v>528.57709919207343</c:v>
                </c:pt>
                <c:pt idx="3">
                  <c:v>553.954361069367</c:v>
                </c:pt>
                <c:pt idx="4">
                  <c:v>562.5</c:v>
                </c:pt>
                <c:pt idx="5">
                  <c:v>553.95436106936711</c:v>
                </c:pt>
                <c:pt idx="6">
                  <c:v>528.57709919207355</c:v>
                </c:pt>
                <c:pt idx="7">
                  <c:v>487.13928962874695</c:v>
                </c:pt>
                <c:pt idx="8">
                  <c:v>455.07205933590814</c:v>
                </c:pt>
              </c:numCache>
            </c:numRef>
          </c:val>
          <c:smooth val="0"/>
          <c:extLst>
            <c:ext xmlns:c16="http://schemas.microsoft.com/office/drawing/2014/chart" uri="{C3380CC4-5D6E-409C-BE32-E72D297353CC}">
              <c16:uniqueId val="{00000003-FA1D-48A1-A31C-D1399C6DD5FA}"/>
            </c:ext>
          </c:extLst>
        </c:ser>
        <c:ser>
          <c:idx val="4"/>
          <c:order val="4"/>
          <c:tx>
            <c:v>SIN ARMADURA</c:v>
          </c:tx>
          <c:spPr>
            <a:ln w="28575" cap="rnd">
              <a:solidFill>
                <a:schemeClr val="bg1">
                  <a:lumMod val="65000"/>
                </a:schemeClr>
              </a:solidFill>
              <a:round/>
            </a:ln>
            <a:effectLst/>
          </c:spPr>
          <c:marker>
            <c:symbol val="none"/>
          </c:marker>
          <c:val>
            <c:numRef>
              <c:f>('CE (2)'!$E$37,'CE (2)'!$E$40,'CE (2)'!$E$43,'CE (2)'!$E$46,'CE (2)'!$E$49,'CE (2)'!$E$52,'CE (2)'!$E$55,'CE (2)'!$E$58,'CE (2)'!$E$61)</c:f>
              <c:numCache>
                <c:formatCode>0.0</c:formatCode>
                <c:ptCount val="9"/>
                <c:pt idx="0">
                  <c:v>46.690833590177633</c:v>
                </c:pt>
                <c:pt idx="1">
                  <c:v>46.690833590177633</c:v>
                </c:pt>
                <c:pt idx="2">
                  <c:v>46.690833590177633</c:v>
                </c:pt>
                <c:pt idx="3">
                  <c:v>46.690833590177633</c:v>
                </c:pt>
                <c:pt idx="4">
                  <c:v>46.690833590177633</c:v>
                </c:pt>
                <c:pt idx="5">
                  <c:v>46.690833590177633</c:v>
                </c:pt>
                <c:pt idx="6">
                  <c:v>46.690833590177633</c:v>
                </c:pt>
                <c:pt idx="7">
                  <c:v>46.690833590177633</c:v>
                </c:pt>
                <c:pt idx="8">
                  <c:v>46.690833590177633</c:v>
                </c:pt>
              </c:numCache>
            </c:numRef>
          </c:val>
          <c:smooth val="0"/>
          <c:extLst>
            <c:ext xmlns:c16="http://schemas.microsoft.com/office/drawing/2014/chart" uri="{C3380CC4-5D6E-409C-BE32-E72D297353CC}">
              <c16:uniqueId val="{00000004-FA1D-48A1-A31C-D1399C6DD5FA}"/>
            </c:ext>
          </c:extLst>
        </c:ser>
        <c:ser>
          <c:idx val="5"/>
          <c:order val="5"/>
          <c:tx>
            <c:v>SIN ARMADURA EHE</c:v>
          </c:tx>
          <c:spPr>
            <a:ln w="28575" cap="rnd">
              <a:solidFill>
                <a:schemeClr val="bg1">
                  <a:lumMod val="65000"/>
                </a:schemeClr>
              </a:solidFill>
              <a:prstDash val="dash"/>
              <a:round/>
            </a:ln>
            <a:effectLst/>
          </c:spPr>
          <c:marker>
            <c:symbol val="none"/>
          </c:marker>
          <c:val>
            <c:numRef>
              <c:f>('CE (2)'!$I$37,'CE (2)'!$I$40,'CE (2)'!$I$43,'CE (2)'!$I$46,'CE (2)'!$I$52,'CE (2)'!$I$55,'CE (2)'!$I$58,'CE (2)'!$I$61)</c:f>
              <c:numCache>
                <c:formatCode>0.0</c:formatCode>
                <c:ptCount val="8"/>
                <c:pt idx="0">
                  <c:v>60.515364784490885</c:v>
                </c:pt>
                <c:pt idx="1">
                  <c:v>60.515364784490885</c:v>
                </c:pt>
                <c:pt idx="2">
                  <c:v>60.515364784490885</c:v>
                </c:pt>
                <c:pt idx="3">
                  <c:v>60.515364784490885</c:v>
                </c:pt>
                <c:pt idx="4">
                  <c:v>60.515364784490885</c:v>
                </c:pt>
                <c:pt idx="5">
                  <c:v>60.515364784490885</c:v>
                </c:pt>
                <c:pt idx="6">
                  <c:v>60.515364784490885</c:v>
                </c:pt>
                <c:pt idx="7">
                  <c:v>60.515364784490885</c:v>
                </c:pt>
              </c:numCache>
            </c:numRef>
          </c:val>
          <c:smooth val="0"/>
          <c:extLst>
            <c:ext xmlns:c16="http://schemas.microsoft.com/office/drawing/2014/chart" uri="{C3380CC4-5D6E-409C-BE32-E72D297353CC}">
              <c16:uniqueId val="{00000005-FA1D-48A1-A31C-D1399C6DD5FA}"/>
            </c:ext>
          </c:extLst>
        </c:ser>
        <c:dLbls>
          <c:showLegendKey val="0"/>
          <c:showVal val="0"/>
          <c:showCatName val="0"/>
          <c:showSerName val="0"/>
          <c:showPercent val="0"/>
          <c:showBubbleSize val="0"/>
        </c:dLbls>
        <c:smooth val="0"/>
        <c:axId val="1676521840"/>
        <c:axId val="1676523088"/>
      </c:lineChart>
      <c:catAx>
        <c:axId val="16765218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676523088"/>
        <c:crosses val="autoZero"/>
        <c:auto val="1"/>
        <c:lblAlgn val="ctr"/>
        <c:lblOffset val="100"/>
        <c:noMultiLvlLbl val="0"/>
      </c:catAx>
      <c:valAx>
        <c:axId val="167652308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crossAx val="1676521840"/>
        <c:crosses val="autoZero"/>
        <c:crossBetween val="between"/>
      </c:valAx>
      <c:spPr>
        <a:noFill/>
        <a:ln>
          <a:noFill/>
        </a:ln>
        <a:effectLst/>
      </c:spPr>
    </c:plotArea>
    <c:legend>
      <c:legendPos val="r"/>
      <c:layout>
        <c:manualLayout>
          <c:xMode val="edge"/>
          <c:yMode val="edge"/>
          <c:x val="9.4595380709041776E-2"/>
          <c:y val="2.7452217755005111E-2"/>
          <c:w val="0.83317953578749959"/>
          <c:h val="0.1132227840963079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E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9</xdr:col>
      <xdr:colOff>117699</xdr:colOff>
      <xdr:row>0</xdr:row>
      <xdr:rowOff>26533</xdr:rowOff>
    </xdr:from>
    <xdr:to>
      <xdr:col>19</xdr:col>
      <xdr:colOff>519110</xdr:colOff>
      <xdr:row>23</xdr:row>
      <xdr:rowOff>100353</xdr:rowOff>
    </xdr:to>
    <xdr:graphicFrame macro="">
      <xdr:nvGraphicFramePr>
        <xdr:cNvPr id="2" name="Gráfico 1">
          <a:extLst>
            <a:ext uri="{FF2B5EF4-FFF2-40B4-BE49-F238E27FC236}">
              <a16:creationId xmlns:a16="http://schemas.microsoft.com/office/drawing/2014/main" id="{04F4EDF8-FBE8-4413-B7AB-F8ABA8E6CF8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16</xdr:row>
      <xdr:rowOff>9525</xdr:rowOff>
    </xdr:from>
    <xdr:to>
      <xdr:col>2</xdr:col>
      <xdr:colOff>1000125</xdr:colOff>
      <xdr:row>28</xdr:row>
      <xdr:rowOff>314926</xdr:rowOff>
    </xdr:to>
    <xdr:pic>
      <xdr:nvPicPr>
        <xdr:cNvPr id="3" name="Picture 8" descr="cortante">
          <a:extLst>
            <a:ext uri="{FF2B5EF4-FFF2-40B4-BE49-F238E27FC236}">
              <a16:creationId xmlns:a16="http://schemas.microsoft.com/office/drawing/2014/main" id="{68D1FB35-E482-4880-8701-0B153A63D3D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4355" t="2968" r="21452" b="18494"/>
        <a:stretch>
          <a:fillRect/>
        </a:stretch>
      </xdr:blipFill>
      <xdr:spPr bwMode="auto">
        <a:xfrm>
          <a:off x="0" y="3105150"/>
          <a:ext cx="2867025" cy="27438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c:userShapes xmlns:c="http://schemas.openxmlformats.org/drawingml/2006/chart">
  <cdr:relSizeAnchor xmlns:cdr="http://schemas.openxmlformats.org/drawingml/2006/chartDrawing">
    <cdr:from>
      <cdr:x>0.06305</cdr:x>
      <cdr:y>0.94598</cdr:y>
    </cdr:from>
    <cdr:to>
      <cdr:x>0.36368</cdr:x>
      <cdr:y>0.99464</cdr:y>
    </cdr:to>
    <cdr:sp macro="" textlink="">
      <cdr:nvSpPr>
        <cdr:cNvPr id="2" name="CuadroTexto 1">
          <a:extLst xmlns:a="http://schemas.openxmlformats.org/drawingml/2006/main">
            <a:ext uri="{FF2B5EF4-FFF2-40B4-BE49-F238E27FC236}">
              <a16:creationId xmlns:a16="http://schemas.microsoft.com/office/drawing/2014/main" id="{3C637958-42D1-8475-B579-D34B16E0D76F}"/>
            </a:ext>
          </a:extLst>
        </cdr:cNvPr>
        <cdr:cNvSpPr txBox="1"/>
      </cdr:nvSpPr>
      <cdr:spPr>
        <a:xfrm xmlns:a="http://schemas.openxmlformats.org/drawingml/2006/main">
          <a:off x="625251" y="4259717"/>
          <a:ext cx="2981325" cy="2190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s-ES" sz="1100" kern="1200"/>
            <a:t>400x300</a:t>
          </a:r>
          <a:r>
            <a:rPr lang="es-ES" sz="1100" kern="1200" baseline="0"/>
            <a:t> 3c8/100. Ancho de pilar: 300 mm.</a:t>
          </a:r>
          <a:endParaRPr lang="es-ES" sz="1100" kern="1200"/>
        </a:p>
      </cdr:txBody>
    </cdr:sp>
  </cdr:relSizeAnchor>
</c:userShapes>
</file>

<file path=xl/drawings/drawing3.xml><?xml version="1.0" encoding="utf-8"?>
<xdr:wsDr xmlns:xdr="http://schemas.openxmlformats.org/drawingml/2006/spreadsheetDrawing" xmlns:a="http://schemas.openxmlformats.org/drawingml/2006/main">
  <xdr:twoCellAnchor>
    <xdr:from>
      <xdr:col>9</xdr:col>
      <xdr:colOff>117699</xdr:colOff>
      <xdr:row>0</xdr:row>
      <xdr:rowOff>26533</xdr:rowOff>
    </xdr:from>
    <xdr:to>
      <xdr:col>19</xdr:col>
      <xdr:colOff>519110</xdr:colOff>
      <xdr:row>22</xdr:row>
      <xdr:rowOff>100353</xdr:rowOff>
    </xdr:to>
    <xdr:graphicFrame macro="">
      <xdr:nvGraphicFramePr>
        <xdr:cNvPr id="2" name="Gráfico 1">
          <a:extLst>
            <a:ext uri="{FF2B5EF4-FFF2-40B4-BE49-F238E27FC236}">
              <a16:creationId xmlns:a16="http://schemas.microsoft.com/office/drawing/2014/main" id="{FA8D3B13-4812-444D-8C0C-5B3F9993FB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76200</xdr:colOff>
      <xdr:row>1</xdr:row>
      <xdr:rowOff>0</xdr:rowOff>
    </xdr:from>
    <xdr:to>
      <xdr:col>13</xdr:col>
      <xdr:colOff>0</xdr:colOff>
      <xdr:row>15</xdr:row>
      <xdr:rowOff>133350</xdr:rowOff>
    </xdr:to>
    <xdr:pic>
      <xdr:nvPicPr>
        <xdr:cNvPr id="2" name="Picture 8" descr="cortante">
          <a:extLst>
            <a:ext uri="{FF2B5EF4-FFF2-40B4-BE49-F238E27FC236}">
              <a16:creationId xmlns:a16="http://schemas.microsoft.com/office/drawing/2014/main" id="{69726C25-47F7-4DD2-B6FB-5C71505841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4355" t="2968" r="21452" b="18494"/>
        <a:stretch>
          <a:fillRect/>
        </a:stretch>
      </xdr:blipFill>
      <xdr:spPr bwMode="auto">
        <a:xfrm>
          <a:off x="7458075" y="952500"/>
          <a:ext cx="3733800" cy="2800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8C6F9-7091-4F93-9258-E5548EC3D643}">
  <dimension ref="A1:O62"/>
  <sheetViews>
    <sheetView tabSelected="1" zoomScaleNormal="100" workbookViewId="0">
      <selection activeCell="I25" sqref="I25"/>
    </sheetView>
  </sheetViews>
  <sheetFormatPr baseColWidth="10" defaultRowHeight="15" x14ac:dyDescent="0.25"/>
  <cols>
    <col min="1" max="1" width="18.85546875" bestFit="1" customWidth="1"/>
    <col min="2" max="2" width="9.140625" bestFit="1" customWidth="1"/>
    <col min="3" max="4" width="16.85546875" bestFit="1" customWidth="1"/>
    <col min="5" max="5" width="15.140625" bestFit="1" customWidth="1"/>
    <col min="6" max="7" width="10.85546875" bestFit="1" customWidth="1"/>
    <col min="8" max="8" width="9.28515625" bestFit="1" customWidth="1"/>
    <col min="9" max="9" width="9.140625" bestFit="1" customWidth="1"/>
    <col min="10" max="11" width="13" bestFit="1" customWidth="1"/>
    <col min="12" max="12" width="13.7109375" bestFit="1" customWidth="1"/>
    <col min="13" max="13" width="24.28515625" bestFit="1" customWidth="1"/>
    <col min="14" max="14" width="21.5703125" bestFit="1" customWidth="1"/>
  </cols>
  <sheetData>
    <row r="1" spans="1:9" ht="15.75" thickBot="1" x14ac:dyDescent="0.3"/>
    <row r="2" spans="1:9" x14ac:dyDescent="0.25">
      <c r="A2" s="160" t="s">
        <v>6</v>
      </c>
      <c r="B2" s="161"/>
      <c r="C2" s="161"/>
      <c r="D2" s="161"/>
      <c r="E2" s="161"/>
      <c r="F2" s="162"/>
    </row>
    <row r="3" spans="1:9" x14ac:dyDescent="0.25">
      <c r="A3" s="61" t="s">
        <v>0</v>
      </c>
      <c r="B3" s="2">
        <v>25</v>
      </c>
      <c r="C3" t="s">
        <v>3</v>
      </c>
      <c r="D3" s="2">
        <v>500</v>
      </c>
      <c r="F3" s="63"/>
    </row>
    <row r="4" spans="1:9" x14ac:dyDescent="0.25">
      <c r="A4" s="62" t="s">
        <v>1</v>
      </c>
      <c r="B4" s="2">
        <v>1.5</v>
      </c>
      <c r="C4" s="1" t="s">
        <v>4</v>
      </c>
      <c r="D4" s="2">
        <v>1.1499999999999999</v>
      </c>
      <c r="F4" s="63"/>
      <c r="H4" s="1"/>
    </row>
    <row r="5" spans="1:9" x14ac:dyDescent="0.25">
      <c r="A5" s="61" t="s">
        <v>2</v>
      </c>
      <c r="B5" s="65">
        <f>B3/B4</f>
        <v>16.666666666666668</v>
      </c>
      <c r="C5" t="s">
        <v>5</v>
      </c>
      <c r="D5" s="65">
        <f>IF(F5="NO",D3/D4,IF(F5="400 Mpa",MIN(D3/D4,400),MIN(0.8*D3,D3/D4)))</f>
        <v>434.78260869565219</v>
      </c>
      <c r="E5" t="s">
        <v>32</v>
      </c>
      <c r="F5" s="69" t="s">
        <v>112</v>
      </c>
    </row>
    <row r="6" spans="1:9" x14ac:dyDescent="0.25">
      <c r="A6" s="61" t="s">
        <v>103</v>
      </c>
      <c r="B6" s="65">
        <f>0.3*B3^(2/3)</f>
        <v>2.5649639200150443</v>
      </c>
      <c r="D6" s="65"/>
      <c r="F6" s="63"/>
    </row>
    <row r="7" spans="1:9" x14ac:dyDescent="0.25">
      <c r="A7" s="62" t="s">
        <v>30</v>
      </c>
      <c r="B7">
        <v>1</v>
      </c>
      <c r="D7" s="65"/>
      <c r="F7" s="63"/>
    </row>
    <row r="8" spans="1:9" ht="15.75" thickBot="1" x14ac:dyDescent="0.3">
      <c r="A8" s="62" t="s">
        <v>31</v>
      </c>
      <c r="B8">
        <f>IF(F5="0,8·fyd",0.6,0.6*(1-B3/250))</f>
        <v>0.54</v>
      </c>
      <c r="D8" s="65"/>
      <c r="F8" s="63"/>
    </row>
    <row r="9" spans="1:9" x14ac:dyDescent="0.25">
      <c r="A9" s="58" t="s">
        <v>7</v>
      </c>
      <c r="B9" s="59"/>
      <c r="C9" s="159" t="s">
        <v>43</v>
      </c>
      <c r="D9" s="159"/>
      <c r="E9" s="159"/>
      <c r="F9" s="159"/>
      <c r="G9" s="59"/>
      <c r="H9" s="59"/>
      <c r="I9" s="60"/>
    </row>
    <row r="10" spans="1:9" x14ac:dyDescent="0.25">
      <c r="A10" s="62" t="s">
        <v>8</v>
      </c>
      <c r="B10" s="2">
        <v>200</v>
      </c>
      <c r="C10" t="s">
        <v>12</v>
      </c>
      <c r="D10" s="1" t="s">
        <v>13</v>
      </c>
      <c r="E10" t="s">
        <v>12</v>
      </c>
      <c r="F10" s="1" t="s">
        <v>13</v>
      </c>
      <c r="G10" s="1" t="s">
        <v>14</v>
      </c>
      <c r="H10" s="1" t="s">
        <v>15</v>
      </c>
      <c r="I10" s="64" t="s">
        <v>16</v>
      </c>
    </row>
    <row r="11" spans="1:9" x14ac:dyDescent="0.25">
      <c r="A11" s="61" t="s">
        <v>9</v>
      </c>
      <c r="B11" s="2">
        <v>250</v>
      </c>
      <c r="C11" s="2">
        <v>4</v>
      </c>
      <c r="D11" s="2">
        <v>16</v>
      </c>
      <c r="E11" s="2">
        <v>0</v>
      </c>
      <c r="F11" s="2">
        <v>20</v>
      </c>
      <c r="G11" s="65">
        <f>C11*D11^2*PI()*0.25+E11*F11^2*PI()*0.25</f>
        <v>804.24771931898704</v>
      </c>
      <c r="H11" s="122">
        <f>MIN(G11/(D12*B11),0.02)</f>
        <v>1.6084954386379739E-2</v>
      </c>
      <c r="I11" s="63">
        <f>MIN(1+(200/B11)^0.5,2)</f>
        <v>1.8944271909999157</v>
      </c>
    </row>
    <row r="12" spans="1:9" ht="15.75" thickBot="1" x14ac:dyDescent="0.3">
      <c r="A12" s="143" t="s">
        <v>116</v>
      </c>
      <c r="B12" s="138">
        <v>300</v>
      </c>
      <c r="C12" s="144" t="s">
        <v>10</v>
      </c>
      <c r="D12" s="144">
        <f>MIN(B10,B12+2*B11)</f>
        <v>200</v>
      </c>
      <c r="E12" s="144"/>
      <c r="F12" s="144"/>
      <c r="G12" s="145"/>
      <c r="H12" s="146"/>
      <c r="I12" s="68"/>
    </row>
    <row r="13" spans="1:9" x14ac:dyDescent="0.25">
      <c r="A13" s="139" t="s">
        <v>11</v>
      </c>
      <c r="B13" s="140"/>
      <c r="C13" s="141"/>
      <c r="D13" s="139" t="s">
        <v>20</v>
      </c>
      <c r="E13" s="140"/>
      <c r="F13" s="140"/>
      <c r="G13" s="140"/>
      <c r="H13" s="142"/>
    </row>
    <row r="14" spans="1:9" x14ac:dyDescent="0.25">
      <c r="A14" s="103" t="s">
        <v>17</v>
      </c>
      <c r="B14" s="71" t="s">
        <v>18</v>
      </c>
      <c r="C14" s="107"/>
      <c r="D14" s="82" t="s">
        <v>23</v>
      </c>
      <c r="E14" s="73">
        <v>90</v>
      </c>
      <c r="F14" s="71"/>
      <c r="G14" s="71"/>
      <c r="H14" s="83"/>
    </row>
    <row r="15" spans="1:9" ht="15.75" thickBot="1" x14ac:dyDescent="0.3">
      <c r="A15" s="104">
        <f>0.18/B4</f>
        <v>0.12</v>
      </c>
      <c r="B15" s="105">
        <f>0.035*I11^1.5*B3^0.5</f>
        <v>0.4563046836847231</v>
      </c>
      <c r="C15" s="108"/>
      <c r="D15" s="103" t="s">
        <v>26</v>
      </c>
      <c r="E15" s="71"/>
      <c r="F15" s="71"/>
      <c r="G15" s="71"/>
      <c r="H15" s="83"/>
    </row>
    <row r="16" spans="1:9" x14ac:dyDescent="0.25">
      <c r="D16" s="103" t="s">
        <v>12</v>
      </c>
      <c r="E16" s="72" t="s">
        <v>13</v>
      </c>
      <c r="F16" s="71" t="s">
        <v>27</v>
      </c>
      <c r="G16" s="71" t="s">
        <v>29</v>
      </c>
      <c r="H16" s="109" t="s">
        <v>28</v>
      </c>
    </row>
    <row r="17" spans="1:11" x14ac:dyDescent="0.25">
      <c r="D17" s="110">
        <v>3</v>
      </c>
      <c r="E17" s="73">
        <v>8</v>
      </c>
      <c r="F17" s="73">
        <v>100</v>
      </c>
      <c r="G17" s="76">
        <f>D17*E17^2*PI()*0.25</f>
        <v>150.79644737231007</v>
      </c>
      <c r="H17" s="111">
        <f>G17/(F17*D12*SIN(E14*PI()/180))</f>
        <v>7.5398223686155034E-3</v>
      </c>
    </row>
    <row r="18" spans="1:11" x14ac:dyDescent="0.25">
      <c r="D18" s="103" t="s">
        <v>117</v>
      </c>
      <c r="E18" s="71"/>
      <c r="F18" s="71" t="s">
        <v>118</v>
      </c>
      <c r="G18" s="72" t="s">
        <v>21</v>
      </c>
      <c r="H18" s="83"/>
    </row>
    <row r="19" spans="1:11" x14ac:dyDescent="0.25">
      <c r="D19" s="103">
        <f>FLOOR(MIN(0.75*B11,600),1)</f>
        <v>187</v>
      </c>
      <c r="E19" s="71"/>
      <c r="F19" s="71">
        <f>FLOOR(0.75*B11+(1+1/TAN(E14*PI()/180)),1)</f>
        <v>188</v>
      </c>
      <c r="G19" s="99">
        <f>0.08*(B3)^0.5/D3</f>
        <v>8.0000000000000004E-4</v>
      </c>
      <c r="H19" s="83"/>
    </row>
    <row r="20" spans="1:11" x14ac:dyDescent="0.25">
      <c r="D20" s="153" t="str">
        <f>IF(F17&gt;F19,"NO CUMPLE DISTANCIA MÁXIMA LONGITUDINAL","-")</f>
        <v>-</v>
      </c>
      <c r="E20" s="154"/>
      <c r="F20" s="154"/>
      <c r="G20" s="154"/>
      <c r="H20" s="155"/>
    </row>
    <row r="21" spans="1:11" x14ac:dyDescent="0.25">
      <c r="D21" s="153" t="str">
        <f>IF((D12-40)/(D17-1)&gt;D19,"NO CUMPLE DISTANCIA MÁXIMA TRANSVERSAL","-")</f>
        <v>-</v>
      </c>
      <c r="E21" s="154"/>
      <c r="F21" s="154"/>
      <c r="G21" s="154"/>
      <c r="H21" s="155"/>
    </row>
    <row r="22" spans="1:11" ht="15.75" thickBot="1" x14ac:dyDescent="0.3">
      <c r="D22" s="156" t="str">
        <f>IF(H17&lt;G19,"NO CUMPLE CUANTÍA MÍNIMA","-")</f>
        <v>-</v>
      </c>
      <c r="E22" s="157"/>
      <c r="F22" s="157"/>
      <c r="G22" s="157"/>
      <c r="H22" s="158"/>
    </row>
    <row r="25" spans="1:11" ht="18.75" x14ac:dyDescent="0.3">
      <c r="A25" s="66"/>
      <c r="C25" s="66"/>
    </row>
    <row r="26" spans="1:11" ht="18.75" x14ac:dyDescent="0.3">
      <c r="A26" s="67"/>
      <c r="B26" s="67"/>
      <c r="C26" s="67"/>
    </row>
    <row r="27" spans="1:11" ht="18.75" x14ac:dyDescent="0.3">
      <c r="A27" s="98"/>
      <c r="B27" s="98"/>
      <c r="C27" s="67"/>
    </row>
    <row r="28" spans="1:11" x14ac:dyDescent="0.25">
      <c r="B28" s="57"/>
    </row>
    <row r="29" spans="1:11" ht="33.75" x14ac:dyDescent="0.5">
      <c r="A29" s="70"/>
      <c r="B29" s="70"/>
    </row>
    <row r="31" spans="1:11" x14ac:dyDescent="0.25">
      <c r="I31" t="s">
        <v>102</v>
      </c>
    </row>
    <row r="32" spans="1:11" x14ac:dyDescent="0.25">
      <c r="I32" t="s">
        <v>110</v>
      </c>
      <c r="J32" t="s">
        <v>100</v>
      </c>
      <c r="K32" t="s">
        <v>99</v>
      </c>
    </row>
    <row r="33" spans="1:15" x14ac:dyDescent="0.25">
      <c r="I33" t="s">
        <v>101</v>
      </c>
      <c r="K33" s="147" t="s">
        <v>115</v>
      </c>
      <c r="L33" s="1" t="s">
        <v>106</v>
      </c>
    </row>
    <row r="34" spans="1:15" x14ac:dyDescent="0.25">
      <c r="I34" t="s">
        <v>98</v>
      </c>
      <c r="J34" t="s">
        <v>113</v>
      </c>
      <c r="K34" s="151" t="s">
        <v>114</v>
      </c>
      <c r="L34">
        <f>MIN(1+(200/B11)^0.5,2)</f>
        <v>1.8944271909999157</v>
      </c>
    </row>
    <row r="35" spans="1:15" ht="15.75" thickBot="1" x14ac:dyDescent="0.3">
      <c r="A35" s="77"/>
      <c r="B35" s="77" t="s">
        <v>36</v>
      </c>
      <c r="C35" s="77" t="s">
        <v>37</v>
      </c>
      <c r="D35" s="77"/>
      <c r="E35" s="77"/>
      <c r="F35" s="126" t="s">
        <v>111</v>
      </c>
      <c r="G35" s="77"/>
      <c r="H35" s="77"/>
      <c r="I35" s="77"/>
      <c r="J35" s="77"/>
      <c r="K35" s="77"/>
      <c r="L35" t="s">
        <v>104</v>
      </c>
      <c r="M35" t="s">
        <v>105</v>
      </c>
      <c r="N35" s="1" t="s">
        <v>93</v>
      </c>
      <c r="O35" s="1" t="s">
        <v>107</v>
      </c>
    </row>
    <row r="36" spans="1:15" ht="18.75" x14ac:dyDescent="0.3">
      <c r="A36" s="112" t="s">
        <v>23</v>
      </c>
      <c r="B36" s="116">
        <f>E14</f>
        <v>90</v>
      </c>
      <c r="C36" s="78">
        <f t="shared" ref="C36:C61" si="0">B36*PI()/180</f>
        <v>1.5707963267948966</v>
      </c>
      <c r="D36" s="79" t="s">
        <v>34</v>
      </c>
      <c r="E36" s="135">
        <f>$G$17*0.9*$B$11*$D$5*(1/TAN(C37))/$F$17/1000</f>
        <v>295.87586335108557</v>
      </c>
      <c r="F36" s="123">
        <f>E36/$I$48</f>
        <v>1.7579221277645434</v>
      </c>
      <c r="G36" s="90" t="s">
        <v>108</v>
      </c>
      <c r="H36" s="133">
        <f>($A$15*$I$11*(100*$H$11*$B$3)^(1/3))*$D$12*$B$11/1000</f>
        <v>38.941778579846051</v>
      </c>
      <c r="I36" s="81">
        <f>J36+K36</f>
        <v>304.79898597476461</v>
      </c>
      <c r="J36" s="81">
        <f>0.9*$B$11*SIN(C36)*(1/TAN(C36)+1/TAN(C37))*$G$17*MIN($D$5,400)/$F$17/1000</f>
        <v>272.20579428299868</v>
      </c>
      <c r="K36" s="148">
        <f>MAX(K37*$D$12*$B$11*N38/1000,K38*$D$12*$B$11/1000)</f>
        <v>32.593191691765924</v>
      </c>
      <c r="N36">
        <f>(2*L37-1)/(2*M37-1)</f>
        <v>3.0113794165180394</v>
      </c>
      <c r="O36" s="137">
        <f>0.9*0.5*(L37-1/TAN(C36))</f>
        <v>0.90256036871655887</v>
      </c>
    </row>
    <row r="37" spans="1:15" ht="18.75" x14ac:dyDescent="0.3">
      <c r="A37" s="82" t="s">
        <v>24</v>
      </c>
      <c r="B37" s="119">
        <v>26.5</v>
      </c>
      <c r="C37" s="71">
        <f t="shared" si="0"/>
        <v>0.46251225177849731</v>
      </c>
      <c r="D37" s="74" t="s">
        <v>33</v>
      </c>
      <c r="E37" s="136">
        <f>$B$7*$D$12*0.9*$B$11*$B$8*$B$5/(L37+TAN(C37))/1000</f>
        <v>161.7236907845768</v>
      </c>
      <c r="F37" s="124">
        <f>E37/$I$49</f>
        <v>0.64689476313830718</v>
      </c>
      <c r="G37" s="92" t="s">
        <v>109</v>
      </c>
      <c r="H37" s="134">
        <f>$B$15*$D$12*$B$11/1000</f>
        <v>22.815234184236154</v>
      </c>
      <c r="I37" s="76">
        <f>0.6*$B$5*$D$12*$B$11*(L37+1/TAN(C36))/(1+L37^2)/1000</f>
        <v>199.65887751182322</v>
      </c>
      <c r="J37" s="76"/>
      <c r="K37" s="149">
        <f>0.15*$L$34*(100*$H$11*$B$3)^(1/3)*N36/$B$4</f>
        <v>1.9544745076325245</v>
      </c>
      <c r="L37">
        <f>1/TAN(C37)</f>
        <v>2.0056897082590197</v>
      </c>
      <c r="M37" s="65">
        <v>1</v>
      </c>
      <c r="N37">
        <f>MIN((L37-2)/(M37-2),2)</f>
        <v>-5.6897082590197101E-3</v>
      </c>
      <c r="O37" s="128"/>
    </row>
    <row r="38" spans="1:15" ht="19.5" thickBot="1" x14ac:dyDescent="0.35">
      <c r="A38" s="113"/>
      <c r="B38" s="84"/>
      <c r="C38" s="84"/>
      <c r="D38" s="85" t="s">
        <v>19</v>
      </c>
      <c r="E38" s="86">
        <f>MAX(H36:H37)</f>
        <v>38.941778579846051</v>
      </c>
      <c r="F38" s="125">
        <f>E38/$I$50</f>
        <v>1</v>
      </c>
      <c r="G38" s="94"/>
      <c r="H38" s="95"/>
      <c r="I38" s="88">
        <f>MAX(J38:K38)*$D$12*$B$11/1000</f>
        <v>38.941778579846051</v>
      </c>
      <c r="J38" s="88">
        <f>0.18*$L$34*(100*$H$11*$B$3)^(1/3)/$B$4</f>
        <v>0.77883557159692096</v>
      </c>
      <c r="K38" s="152">
        <f>0.075*$L$34^1.5*$B$3^0.5/$B$4</f>
        <v>0.65186383383531854</v>
      </c>
      <c r="N38">
        <f>IF(L37&gt;=M37,MAX(N37,0),N36)</f>
        <v>0</v>
      </c>
      <c r="O38" s="128"/>
    </row>
    <row r="39" spans="1:15" ht="18.75" x14ac:dyDescent="0.3">
      <c r="A39" s="112" t="s">
        <v>23</v>
      </c>
      <c r="B39" s="78">
        <f>B36</f>
        <v>90</v>
      </c>
      <c r="C39" s="78">
        <f t="shared" si="0"/>
        <v>1.5707963267948966</v>
      </c>
      <c r="D39" s="79" t="s">
        <v>34</v>
      </c>
      <c r="E39" s="80">
        <f>$G$17*0.9*$B$11*$D$5*(1/TAN(C40))/$F$17/1000</f>
        <v>255.50912783125509</v>
      </c>
      <c r="F39" s="123">
        <f>E39/$I$48</f>
        <v>1.5180864859104928</v>
      </c>
      <c r="G39" s="90" t="s">
        <v>108</v>
      </c>
      <c r="H39" s="91">
        <f>($A$15*$I$11*(100*$H$11*$B$3)^(1/3))*$D$12*$B$11/1000</f>
        <v>38.941778579846051</v>
      </c>
      <c r="I39" s="81">
        <f>J39+K39</f>
        <v>267.66158929652056</v>
      </c>
      <c r="J39" s="81">
        <f>0.9*$B$11*SIN(C39)*(1/TAN(C39)+1/TAN(C40))*$G$17*MIN($D$5,400)/$F$17/1000</f>
        <v>235.06839760475464</v>
      </c>
      <c r="K39" s="148">
        <f>MAX(K40*$D$12*$B$11*N41/1000,K41*$D$12*$B$11/1000)</f>
        <v>32.593191691765924</v>
      </c>
      <c r="N39">
        <f>(2*L40-1)/(2*M40-1)</f>
        <v>2.4641016151377548</v>
      </c>
      <c r="O39" s="128">
        <f>0.9*0.5*(L40-1/TAN(C39))</f>
        <v>0.77942286340599487</v>
      </c>
    </row>
    <row r="40" spans="1:15" ht="18.75" x14ac:dyDescent="0.3">
      <c r="A40" s="82" t="s">
        <v>24</v>
      </c>
      <c r="B40" s="71">
        <v>30</v>
      </c>
      <c r="C40" s="71">
        <f t="shared" si="0"/>
        <v>0.52359877559829882</v>
      </c>
      <c r="D40" s="74" t="s">
        <v>33</v>
      </c>
      <c r="E40" s="75">
        <f>$B$7*$D$12*0.9*$B$11*$B$8*$B$5/(L40+TAN(C40))/1000</f>
        <v>175.37014426634883</v>
      </c>
      <c r="F40" s="124">
        <f>E40/$I$49</f>
        <v>0.70148057706539535</v>
      </c>
      <c r="G40" s="92" t="s">
        <v>109</v>
      </c>
      <c r="H40" s="93">
        <f>$B$15*$D$12*$B$11/1000</f>
        <v>22.815234184236154</v>
      </c>
      <c r="I40" s="76">
        <f>0.6*$B$5*$D$12*$B$11*(L40+1/TAN(C39))/(1+L40^2)/1000</f>
        <v>216.50635094610968</v>
      </c>
      <c r="J40" s="76"/>
      <c r="K40" s="149">
        <f>0.15*$L$34*(100*$H$11*$B$3)^(1/3)*N39/$B$4</f>
        <v>1.5992749915822577</v>
      </c>
      <c r="L40">
        <f>1/TAN(C40)</f>
        <v>1.7320508075688774</v>
      </c>
      <c r="M40" s="65">
        <v>1</v>
      </c>
      <c r="N40">
        <f>MIN((L40-2)/(M40-2),2)</f>
        <v>0.26794919243112258</v>
      </c>
      <c r="O40" s="128"/>
    </row>
    <row r="41" spans="1:15" ht="19.5" thickBot="1" x14ac:dyDescent="0.35">
      <c r="A41" s="113"/>
      <c r="B41" s="84"/>
      <c r="C41" s="84"/>
      <c r="D41" s="85" t="s">
        <v>19</v>
      </c>
      <c r="E41" s="86">
        <f>MAX(H39:H40)</f>
        <v>38.941778579846051</v>
      </c>
      <c r="F41" s="125">
        <f>E41/$I$50</f>
        <v>1</v>
      </c>
      <c r="G41" s="94"/>
      <c r="H41" s="95"/>
      <c r="I41" s="88">
        <f>MAX(J41:K41)*$D$12*$B$11/1000</f>
        <v>38.941778579846051</v>
      </c>
      <c r="J41" s="88">
        <f>0.18*$L$34*(100*$H$11*$B$3)^(1/3)/$B$4</f>
        <v>0.77883557159692096</v>
      </c>
      <c r="K41" s="152">
        <f>0.075*$L$34^1.5*$B$3^0.5/$B$4</f>
        <v>0.65186383383531854</v>
      </c>
      <c r="N41">
        <f>IF(L40&gt;=M40,MAX(N40,0),N39)</f>
        <v>0.26794919243112258</v>
      </c>
      <c r="O41" s="128"/>
    </row>
    <row r="42" spans="1:15" ht="18.75" x14ac:dyDescent="0.3">
      <c r="A42" s="112" t="s">
        <v>23</v>
      </c>
      <c r="B42" s="78">
        <f>B39</f>
        <v>90</v>
      </c>
      <c r="C42" s="78">
        <f t="shared" si="0"/>
        <v>1.5707963267948966</v>
      </c>
      <c r="D42" s="79" t="s">
        <v>34</v>
      </c>
      <c r="E42" s="80">
        <f>$G$17*0.9*$B$11*$D$5*(1/TAN(C43))/$F$17/1000</f>
        <v>210.67791430945778</v>
      </c>
      <c r="F42" s="123">
        <f>E42/$I$48</f>
        <v>1.2517255148873547</v>
      </c>
      <c r="G42" s="90" t="s">
        <v>108</v>
      </c>
      <c r="H42" s="91">
        <f>($A$15*$I$11*(100*$H$11*$B$3)^(1/3))*$D$12*$B$11/1000</f>
        <v>38.941778579846051</v>
      </c>
      <c r="I42" s="81">
        <f>J42+K42</f>
        <v>228.27179187750701</v>
      </c>
      <c r="J42" s="81">
        <f>0.9*$B$11*SIN(C42)*(1/TAN(C42)+1/TAN(C43))*$G$17*MIN($D$5,400)/$F$17/1000</f>
        <v>193.82368116470113</v>
      </c>
      <c r="K42" s="148">
        <f>MAX(K43*$D$12*$B$11*N44/1000,K44*$D$12*$B$11/1000)</f>
        <v>34.448110712805885</v>
      </c>
      <c r="N42">
        <f>(2*L43-1)/(2*M43-1)</f>
        <v>1.8562960134842292</v>
      </c>
      <c r="O42" s="128">
        <f>0.9*0.5*(L43-1/TAN(C42))</f>
        <v>0.64266660303395162</v>
      </c>
    </row>
    <row r="43" spans="1:15" ht="18.75" x14ac:dyDescent="0.3">
      <c r="A43" s="82" t="s">
        <v>24</v>
      </c>
      <c r="B43" s="71">
        <v>35</v>
      </c>
      <c r="C43" s="71">
        <f t="shared" si="0"/>
        <v>0.6108652381980153</v>
      </c>
      <c r="D43" s="74" t="s">
        <v>33</v>
      </c>
      <c r="E43" s="75">
        <f>$B$7*$D$12*0.9*$B$11*$B$8*$B$5/(L43+TAN(C43))/1000</f>
        <v>190.28775570914647</v>
      </c>
      <c r="F43" s="124">
        <f>E43/$I$49</f>
        <v>0.76115102283658587</v>
      </c>
      <c r="G43" s="92" t="s">
        <v>109</v>
      </c>
      <c r="H43" s="93">
        <f>$B$15*$D$12*$B$11/1000</f>
        <v>22.815234184236154</v>
      </c>
      <c r="I43" s="76">
        <f>0.6*$B$5*$D$12*$B$11*(L43+1/TAN(C42))/(1+L43^2)/1000</f>
        <v>234.92315519647707</v>
      </c>
      <c r="J43" s="76"/>
      <c r="K43" s="149">
        <f>0.15*$L$34*(100*$H$11*$B$3)^(1/3)*N42/$B$4</f>
        <v>1.2047911389292294</v>
      </c>
      <c r="L43">
        <f>1/TAN(C43)</f>
        <v>1.4281480067421146</v>
      </c>
      <c r="M43" s="65">
        <v>1</v>
      </c>
      <c r="N43">
        <f>MIN((L43-2)/(M43-2),2)</f>
        <v>0.57185199325788538</v>
      </c>
      <c r="O43" s="128"/>
    </row>
    <row r="44" spans="1:15" ht="19.5" thickBot="1" x14ac:dyDescent="0.35">
      <c r="A44" s="113"/>
      <c r="B44" s="84"/>
      <c r="C44" s="84"/>
      <c r="D44" s="87" t="s">
        <v>19</v>
      </c>
      <c r="E44" s="86">
        <f>MAX(H42:H43)</f>
        <v>38.941778579846051</v>
      </c>
      <c r="F44" s="125">
        <f>E44/$I$50</f>
        <v>1</v>
      </c>
      <c r="G44" s="94"/>
      <c r="H44" s="95"/>
      <c r="I44" s="88">
        <f>MAX(J44:K44)*$D$12*$B$11/1000</f>
        <v>38.941778579846051</v>
      </c>
      <c r="J44" s="88">
        <f>0.18*$L$34*(100*$H$11*$B$3)^(1/3)/$B$4</f>
        <v>0.77883557159692096</v>
      </c>
      <c r="K44" s="152">
        <f>0.075*$L$34^1.5*$B$3^0.5/$B$4</f>
        <v>0.65186383383531854</v>
      </c>
      <c r="N44">
        <f>IF(L43&gt;=M43,MAX(N43,0),N42)</f>
        <v>0.57185199325788538</v>
      </c>
      <c r="O44" s="128"/>
    </row>
    <row r="45" spans="1:15" ht="18.75" x14ac:dyDescent="0.3">
      <c r="A45" s="112" t="s">
        <v>23</v>
      </c>
      <c r="B45" s="78">
        <f>B42</f>
        <v>90</v>
      </c>
      <c r="C45" s="78">
        <f t="shared" si="0"/>
        <v>1.5707963267948966</v>
      </c>
      <c r="D45" s="79" t="s">
        <v>34</v>
      </c>
      <c r="E45" s="80">
        <f>$G$17*0.9*$B$11*$D$5*(1/TAN(C46))/$F$17/1000</f>
        <v>175.80542077799439</v>
      </c>
      <c r="F45" s="123">
        <f>E45/$I$48</f>
        <v>1.0445334603041687</v>
      </c>
      <c r="G45" s="90" t="s">
        <v>108</v>
      </c>
      <c r="H45" s="91">
        <f>($A$15*$I$11*(100*$H$11*$B$3)^(1/3))*$D$12*$B$11/1000</f>
        <v>38.941778579846051</v>
      </c>
      <c r="I45" s="81">
        <f>J45+K45</f>
        <v>198.02871188352509</v>
      </c>
      <c r="J45" s="81">
        <f>0.9*$B$11*SIN(C45)*(1/TAN(C45)+1/TAN(C46))*$G$17*MIN($D$5,400)/$F$17/1000</f>
        <v>161.74098711575482</v>
      </c>
      <c r="K45" s="148">
        <f>MAX(K46*$D$12*$B$11*N47/1000,K47*$D$12*$B$11/1000)</f>
        <v>36.287724767770285</v>
      </c>
      <c r="N45">
        <f>(2*L46-1)/(2*M46-1)</f>
        <v>1.38350718518842</v>
      </c>
      <c r="O45" s="128">
        <f>0.9*0.5*(L46-1/TAN(C45))</f>
        <v>0.53628911666739454</v>
      </c>
    </row>
    <row r="46" spans="1:15" ht="18.75" x14ac:dyDescent="0.3">
      <c r="A46" s="82" t="s">
        <v>24</v>
      </c>
      <c r="B46" s="71">
        <v>40</v>
      </c>
      <c r="C46" s="71">
        <f t="shared" si="0"/>
        <v>0.69813170079773179</v>
      </c>
      <c r="D46" s="74" t="s">
        <v>33</v>
      </c>
      <c r="E46" s="75">
        <f>$B$7*$D$12*0.9*$B$11*$B$8*$B$5/(L46+TAN(C46))/1000</f>
        <v>199.42356998497215</v>
      </c>
      <c r="F46" s="124">
        <f>E46/$I$49</f>
        <v>0.79769427993988862</v>
      </c>
      <c r="G46" s="92" t="s">
        <v>109</v>
      </c>
      <c r="H46" s="93">
        <f>$B$15*$D$12*$B$11/1000</f>
        <v>22.815234184236154</v>
      </c>
      <c r="I46" s="76">
        <f>0.6*$B$5*$D$12*$B$11*(L46+1/TAN(C45))/(1+L46^2)/1000</f>
        <v>246.20193825305205</v>
      </c>
      <c r="J46" s="76"/>
      <c r="K46" s="149">
        <f>0.15*$L$34*(100*$H$11*$B$3)^(1/3)*N45/$B$4</f>
        <v>0.89793717448722521</v>
      </c>
      <c r="L46">
        <f>1/TAN(C46)</f>
        <v>1.19175359259421</v>
      </c>
      <c r="M46" s="65">
        <v>1</v>
      </c>
      <c r="N46">
        <f>MIN((L46-2)/(M46-2),2)</f>
        <v>0.80824640740579001</v>
      </c>
      <c r="O46" s="128"/>
    </row>
    <row r="47" spans="1:15" ht="19.5" thickBot="1" x14ac:dyDescent="0.35">
      <c r="A47" s="113"/>
      <c r="B47" s="84"/>
      <c r="C47" s="84"/>
      <c r="D47" s="85" t="s">
        <v>19</v>
      </c>
      <c r="E47" s="86">
        <f>MAX(H45:H46)</f>
        <v>38.941778579846051</v>
      </c>
      <c r="F47" s="125">
        <f>E47/$I$50</f>
        <v>1</v>
      </c>
      <c r="G47" s="94"/>
      <c r="H47" s="95"/>
      <c r="I47" s="88">
        <f>MAX(J47:K47)*$D$12*$B$11/1000</f>
        <v>38.941778579846051</v>
      </c>
      <c r="J47" s="88">
        <f>0.18*$L$34*(100*$H$11*$B$3)^(1/3)/$B$4</f>
        <v>0.77883557159692096</v>
      </c>
      <c r="K47" s="152">
        <f>0.075*$L$34^1.5*$B$3^0.5/$B$4</f>
        <v>0.65186383383531854</v>
      </c>
      <c r="N47">
        <f>IF(L46&gt;=M46,MAX(N46,0),N45)</f>
        <v>0.80824640740579001</v>
      </c>
      <c r="O47" s="128"/>
    </row>
    <row r="48" spans="1:15" ht="18.75" x14ac:dyDescent="0.3">
      <c r="A48" s="112" t="s">
        <v>23</v>
      </c>
      <c r="B48" s="116">
        <f>B45</f>
        <v>90</v>
      </c>
      <c r="C48" s="78">
        <f t="shared" si="0"/>
        <v>1.5707963267948966</v>
      </c>
      <c r="D48" s="79" t="s">
        <v>34</v>
      </c>
      <c r="E48" s="135">
        <f>$G$17*0.9*$B$11*$D$5*(1/TAN(C49))/$F$17/1000</f>
        <v>147.51826373378162</v>
      </c>
      <c r="F48" s="123">
        <f>E48/$I$48</f>
        <v>0.87646764129355603</v>
      </c>
      <c r="G48" s="79" t="s">
        <v>108</v>
      </c>
      <c r="H48" s="91">
        <f>($A$15*$I$11*(100*$H$11*$B$3)^(1/3))*$D$12*$B$11/1000</f>
        <v>38.941778579846051</v>
      </c>
      <c r="I48" s="132">
        <f>J48+K48</f>
        <v>168.30999432684499</v>
      </c>
      <c r="J48" s="129">
        <f>0.9*$B$11*SIN(C48)*(1/TAN(C48)+1/TAN(C49))*$G$17*MIN($D$5,400)/$F$17/1000</f>
        <v>135.71680263507906</v>
      </c>
      <c r="K48" s="150">
        <f>MAX(K49*$D$12*$B$11*N50/1000,K50*$D$12*$B$11/1000)</f>
        <v>32.593191691765924</v>
      </c>
      <c r="N48">
        <f>(2*L49-1)/(2*M49-1)</f>
        <v>1</v>
      </c>
      <c r="O48" s="137">
        <f>0.9*0.5*(L49-1/TAN(C48))</f>
        <v>0.44999999999999996</v>
      </c>
    </row>
    <row r="49" spans="1:15" ht="18.75" x14ac:dyDescent="0.3">
      <c r="A49" s="82" t="s">
        <v>24</v>
      </c>
      <c r="B49" s="119">
        <v>45</v>
      </c>
      <c r="C49" s="71">
        <f t="shared" si="0"/>
        <v>0.78539816339744828</v>
      </c>
      <c r="D49" s="74" t="s">
        <v>33</v>
      </c>
      <c r="E49" s="136">
        <f>$B$7*$D$12*0.9*$B$11*$B$8*$B$5/(L49+TAN(C49))/1000</f>
        <v>202.5</v>
      </c>
      <c r="F49" s="124">
        <f>E49/$I$49</f>
        <v>0.81</v>
      </c>
      <c r="G49" s="74" t="s">
        <v>109</v>
      </c>
      <c r="H49" s="75">
        <f>$B$15*$D$12*$B$11/1000</f>
        <v>22.815234184236154</v>
      </c>
      <c r="I49" s="130">
        <f>0.6*$B$5*$D$12*$B$11*(L49+1/TAN(C48))/(1+L49^2)/1000</f>
        <v>250</v>
      </c>
      <c r="J49" s="76"/>
      <c r="K49" s="149">
        <f>0.15*$L$34*(100*$H$11*$B$3)^(1/3)*N48/$B$4</f>
        <v>0.64902964299743415</v>
      </c>
      <c r="L49">
        <f>1/TAN(C49)</f>
        <v>1</v>
      </c>
      <c r="M49" s="65">
        <v>1</v>
      </c>
      <c r="N49">
        <f>MIN((L49-2)/(M49-2),2)</f>
        <v>1</v>
      </c>
      <c r="O49" s="128"/>
    </row>
    <row r="50" spans="1:15" ht="19.5" thickBot="1" x14ac:dyDescent="0.35">
      <c r="A50" s="113"/>
      <c r="B50" s="84"/>
      <c r="C50" s="84"/>
      <c r="D50" s="85" t="s">
        <v>19</v>
      </c>
      <c r="E50" s="86">
        <f>MAX(H48:H49)</f>
        <v>38.941778579846051</v>
      </c>
      <c r="F50" s="125">
        <f>E50/$I$50</f>
        <v>1</v>
      </c>
      <c r="G50" s="94"/>
      <c r="H50" s="95"/>
      <c r="I50" s="88">
        <f>MAX(J50:K50)*$D$12*$B$11/1000</f>
        <v>38.941778579846051</v>
      </c>
      <c r="J50" s="88">
        <f>0.18*$L$34*(100*$H$11*$B$3)^(1/3)/$B$4</f>
        <v>0.77883557159692096</v>
      </c>
      <c r="K50" s="152">
        <f>0.075*$L$34^1.5*$B$3^0.5/$B$4</f>
        <v>0.65186383383531854</v>
      </c>
      <c r="N50">
        <f>IF(L49&gt;=M49,MAX(N49,0),N48)</f>
        <v>1</v>
      </c>
      <c r="O50" s="128"/>
    </row>
    <row r="51" spans="1:15" ht="18.75" x14ac:dyDescent="0.3">
      <c r="A51" s="112" t="s">
        <v>23</v>
      </c>
      <c r="B51" s="78">
        <f>B48</f>
        <v>90</v>
      </c>
      <c r="C51" s="78">
        <f t="shared" si="0"/>
        <v>1.5707963267948966</v>
      </c>
      <c r="D51" s="79" t="s">
        <v>34</v>
      </c>
      <c r="E51" s="80">
        <f>$G$17*0.9*$B$11*$D$5*(1/TAN(C52))/$F$17/1000</f>
        <v>123.78252069092888</v>
      </c>
      <c r="F51" s="123">
        <f>E51/$I$48</f>
        <v>0.73544367454824344</v>
      </c>
      <c r="G51" s="90" t="s">
        <v>108</v>
      </c>
      <c r="H51" s="91">
        <f>($A$15*$I$11*(100*$H$11*$B$3)^(1/3))*$D$12*$B$11/1000</f>
        <v>38.941778579846051</v>
      </c>
      <c r="I51" s="81">
        <f>J51+K51</f>
        <v>146.47311072742048</v>
      </c>
      <c r="J51" s="81">
        <f>0.9*$B$11*SIN(C51)*(1/TAN(C51)+1/TAN(C52))*$G$17*MIN($D$5,400)/$F$17/1000</f>
        <v>113.87991903565455</v>
      </c>
      <c r="K51" s="148">
        <f>MAX(K52*$D$12*$B$11*N53/1000,K53*$D$12*$B$11/1000)</f>
        <v>32.593191691765924</v>
      </c>
      <c r="N51">
        <f>(2*L52-1)/(2*M52-1)</f>
        <v>0.67819926235456007</v>
      </c>
      <c r="O51" s="128">
        <f>0.9*0.5*(L52-1/TAN(C51))</f>
        <v>0.37759483402977595</v>
      </c>
    </row>
    <row r="52" spans="1:15" ht="18.75" x14ac:dyDescent="0.3">
      <c r="A52" s="82" t="s">
        <v>24</v>
      </c>
      <c r="B52" s="71">
        <v>50</v>
      </c>
      <c r="C52" s="71">
        <f t="shared" si="0"/>
        <v>0.87266462599716477</v>
      </c>
      <c r="D52" s="74" t="s">
        <v>33</v>
      </c>
      <c r="E52" s="75">
        <f>$B$7*$D$12*0.9*$B$11*$B$8*$B$5/(L52+TAN(C52))/1000</f>
        <v>199.42356998497215</v>
      </c>
      <c r="F52" s="124">
        <f>E52/$I$49</f>
        <v>0.79769427993988862</v>
      </c>
      <c r="G52" s="92" t="s">
        <v>109</v>
      </c>
      <c r="H52" s="93">
        <f>$B$15*$D$12*$B$11/1000</f>
        <v>22.815234184236154</v>
      </c>
      <c r="I52" s="76">
        <f>0.6*$B$5*$D$12*$B$11*(L52+1/TAN(C51))/(1+L52^2)/1000</f>
        <v>246.20193825305205</v>
      </c>
      <c r="J52" s="76"/>
      <c r="K52" s="149">
        <f>0.15*$L$34*(100*$H$11*$B$3)^(1/3)*N51/$B$4</f>
        <v>0.44017142512710333</v>
      </c>
      <c r="L52">
        <f>1/TAN(C52)</f>
        <v>0.83909963117728004</v>
      </c>
      <c r="M52" s="65">
        <v>1</v>
      </c>
      <c r="N52">
        <f>MIN((L52-2)/(M52-2),2)</f>
        <v>1.16090036882272</v>
      </c>
      <c r="O52" s="128"/>
    </row>
    <row r="53" spans="1:15" ht="19.5" thickBot="1" x14ac:dyDescent="0.35">
      <c r="A53" s="113"/>
      <c r="B53" s="84"/>
      <c r="C53" s="84"/>
      <c r="D53" s="85" t="s">
        <v>19</v>
      </c>
      <c r="E53" s="86">
        <f>MAX(H51:H52)</f>
        <v>38.941778579846051</v>
      </c>
      <c r="F53" s="125">
        <f>E53/$I$50</f>
        <v>1</v>
      </c>
      <c r="G53" s="94"/>
      <c r="H53" s="95"/>
      <c r="I53" s="88">
        <f>MAX(J53:K53)*$D$12*$B$11/1000</f>
        <v>38.941778579846051</v>
      </c>
      <c r="J53" s="88">
        <f>0.18*$L$34*(100*$H$11*$B$3)^(1/3)/$B$4</f>
        <v>0.77883557159692096</v>
      </c>
      <c r="K53" s="152">
        <f>0.075*$L$34^1.5*$B$3^0.5/$B$4</f>
        <v>0.65186383383531854</v>
      </c>
      <c r="N53">
        <f>IF(L52&gt;=M52,MAX(N52,0),N51)</f>
        <v>0.67819926235456007</v>
      </c>
      <c r="O53" s="128"/>
    </row>
    <row r="54" spans="1:15" ht="18.75" x14ac:dyDescent="0.3">
      <c r="A54" s="112" t="s">
        <v>23</v>
      </c>
      <c r="B54" s="78">
        <f>B51</f>
        <v>90</v>
      </c>
      <c r="C54" s="78">
        <f t="shared" si="0"/>
        <v>1.5707963267948966</v>
      </c>
      <c r="D54" s="79" t="s">
        <v>34</v>
      </c>
      <c r="E54" s="80">
        <f>$G$17*0.9*$B$11*$D$5*(1/TAN(C55))/$F$17/1000</f>
        <v>103.29340029000194</v>
      </c>
      <c r="F54" s="123">
        <f>E54/$I$48</f>
        <v>0.61370924943063188</v>
      </c>
      <c r="G54" s="90" t="s">
        <v>108</v>
      </c>
      <c r="H54" s="91">
        <f>($A$15*$I$11*(100*$H$11*$B$3)^(1/3))*$D$12*$B$11/1000</f>
        <v>38.941778579846051</v>
      </c>
      <c r="I54" s="81">
        <f>J54+K54</f>
        <v>127.62311995856771</v>
      </c>
      <c r="J54" s="81">
        <f>0.9*$B$11*SIN(C54)*(1/TAN(C54)+1/TAN(C55))*$G$17*MIN($D$5,400)/$F$17/1000</f>
        <v>95.02992826680179</v>
      </c>
      <c r="K54" s="148">
        <f>MAX(K55*$D$12*$B$11*N56/1000,K56*$D$12*$B$11/1000)</f>
        <v>32.593191691765924</v>
      </c>
      <c r="N54">
        <f>(2*L55-1)/(2*M55-1)</f>
        <v>0.40041507641941965</v>
      </c>
      <c r="O54" s="128">
        <f>0.9*0.5*(L55-1/TAN(C54))</f>
        <v>0.31509339219436938</v>
      </c>
    </row>
    <row r="55" spans="1:15" ht="18.75" x14ac:dyDescent="0.3">
      <c r="A55" s="82" t="s">
        <v>24</v>
      </c>
      <c r="B55" s="71">
        <v>55</v>
      </c>
      <c r="C55" s="71">
        <f t="shared" si="0"/>
        <v>0.95993108859688125</v>
      </c>
      <c r="D55" s="74" t="s">
        <v>33</v>
      </c>
      <c r="E55" s="75">
        <f>$B$7*$D$12*0.9*$B$11*$B$8*$B$5/(L55+TAN(C55))/1000</f>
        <v>190.28775570914647</v>
      </c>
      <c r="F55" s="124">
        <f>E55/$I$49</f>
        <v>0.76115102283658587</v>
      </c>
      <c r="G55" s="92" t="s">
        <v>109</v>
      </c>
      <c r="H55" s="93">
        <f>$B$15*$D$12*$B$11/1000</f>
        <v>22.815234184236154</v>
      </c>
      <c r="I55" s="76">
        <f>0.6*$B$5*$D$12*$B$11*(L55+1/TAN(C54))/(1+L55^2)/1000</f>
        <v>234.92315519647713</v>
      </c>
      <c r="J55" s="76"/>
      <c r="K55" s="149">
        <f>0.15*$L$34*(100*$H$11*$B$3)^(1/3)*N54/$B$4</f>
        <v>0.25988125409928625</v>
      </c>
      <c r="L55">
        <f>1/TAN(C55)</f>
        <v>0.70020753820970982</v>
      </c>
      <c r="M55" s="65">
        <v>1</v>
      </c>
      <c r="N55">
        <f>MIN((L55-2)/(M55-2),2)</f>
        <v>1.2997924617902901</v>
      </c>
      <c r="O55" s="128"/>
    </row>
    <row r="56" spans="1:15" ht="19.5" thickBot="1" x14ac:dyDescent="0.35">
      <c r="A56" s="113"/>
      <c r="B56" s="84"/>
      <c r="C56" s="84"/>
      <c r="D56" s="85" t="s">
        <v>19</v>
      </c>
      <c r="E56" s="86">
        <f>MAX(H54:H55)</f>
        <v>38.941778579846051</v>
      </c>
      <c r="F56" s="125">
        <f>E56/$I$50</f>
        <v>1</v>
      </c>
      <c r="G56" s="94"/>
      <c r="H56" s="95"/>
      <c r="I56" s="88">
        <f>MAX(J56:K56)*$D$12*$B$11/1000</f>
        <v>38.941778579846051</v>
      </c>
      <c r="J56" s="88">
        <f>0.18*$L$34*(100*$H$11*$B$3)^(1/3)/$B$4</f>
        <v>0.77883557159692096</v>
      </c>
      <c r="K56" s="152">
        <f>0.075*$L$34^1.5*$B$3^0.5/$B$4</f>
        <v>0.65186383383531854</v>
      </c>
      <c r="N56">
        <f>IF(L55&gt;=M55,MAX(N55,0),N54)</f>
        <v>0.40041507641941965</v>
      </c>
      <c r="O56" s="128"/>
    </row>
    <row r="57" spans="1:15" ht="18.75" x14ac:dyDescent="0.3">
      <c r="A57" s="112" t="s">
        <v>23</v>
      </c>
      <c r="B57" s="78">
        <f>B54</f>
        <v>90</v>
      </c>
      <c r="C57" s="78">
        <f t="shared" si="0"/>
        <v>1.5707963267948966</v>
      </c>
      <c r="D57" s="79" t="s">
        <v>34</v>
      </c>
      <c r="E57" s="80">
        <f>$G$17*0.9*$B$11*$D$5*(1/TAN(C58))/$F$17/1000</f>
        <v>85.169709277085047</v>
      </c>
      <c r="F57" s="123">
        <f>E57/$I$48</f>
        <v>0.50602882863683107</v>
      </c>
      <c r="G57" s="90" t="s">
        <v>108</v>
      </c>
      <c r="H57" s="91">
        <f>($A$15*$I$11*(100*$H$11*$B$3)^(1/3))*$D$12*$B$11/1000</f>
        <v>38.941778579846051</v>
      </c>
      <c r="I57" s="81">
        <f>J57+K57</f>
        <v>110.94932422668417</v>
      </c>
      <c r="J57" s="81">
        <f>0.9*$B$11*SIN(C57)*(1/TAN(C57)+1/TAN(C58))*$G$17*MIN($D$5,400)/$F$17/1000</f>
        <v>78.356132534918245</v>
      </c>
      <c r="K57" s="148">
        <f>MAX(K58*$D$12*$B$11*N59/1000,K59*$D$12*$B$11/1000)</f>
        <v>32.593191691765924</v>
      </c>
      <c r="N57">
        <f>(2*L58-1)/(2*M58-1)</f>
        <v>0.15470053837925191</v>
      </c>
      <c r="O57" s="128">
        <f>0.9*0.5*(L58-1/TAN(C57))</f>
        <v>0.25980762113533162</v>
      </c>
    </row>
    <row r="58" spans="1:15" ht="18.75" x14ac:dyDescent="0.3">
      <c r="A58" s="82" t="s">
        <v>24</v>
      </c>
      <c r="B58" s="71">
        <v>60</v>
      </c>
      <c r="C58" s="71">
        <f t="shared" si="0"/>
        <v>1.0471975511965976</v>
      </c>
      <c r="D58" s="74" t="s">
        <v>33</v>
      </c>
      <c r="E58" s="75">
        <f>$B$7*$D$12*0.9*$B$11*$B$8*$B$5/(L58+TAN(C58))/1000</f>
        <v>175.37014426634883</v>
      </c>
      <c r="F58" s="124">
        <f>E58/$I$49</f>
        <v>0.70148057706539535</v>
      </c>
      <c r="G58" s="92" t="s">
        <v>109</v>
      </c>
      <c r="H58" s="93">
        <f>$B$15*$D$12*$B$11/1000</f>
        <v>22.815234184236154</v>
      </c>
      <c r="I58" s="76">
        <f>0.6*$B$5*$D$12*$B$11*(L58+1/TAN(C57))/(1+L58^2)/1000</f>
        <v>216.50635094610976</v>
      </c>
      <c r="J58" s="76"/>
      <c r="K58" s="149">
        <f>0.15*$L$34*(100*$H$11*$B$3)^(1/3)*N57/$B$4</f>
        <v>0.10040523519579671</v>
      </c>
      <c r="L58">
        <f>1/TAN(C58)</f>
        <v>0.57735026918962595</v>
      </c>
      <c r="M58" s="65">
        <v>1</v>
      </c>
      <c r="N58">
        <f>MIN((L58-2)/(M58-2),2)</f>
        <v>1.422649730810374</v>
      </c>
      <c r="O58" s="128"/>
    </row>
    <row r="59" spans="1:15" ht="19.5" thickBot="1" x14ac:dyDescent="0.35">
      <c r="A59" s="113"/>
      <c r="B59" s="84"/>
      <c r="C59" s="84"/>
      <c r="D59" s="85" t="s">
        <v>19</v>
      </c>
      <c r="E59" s="86">
        <f>MAX(H57:H58)</f>
        <v>38.941778579846051</v>
      </c>
      <c r="F59" s="125">
        <f>E59/$I$50</f>
        <v>1</v>
      </c>
      <c r="G59" s="94"/>
      <c r="H59" s="95"/>
      <c r="I59" s="88">
        <f>MAX(J59:K59)*$D$12*$B$11/1000</f>
        <v>38.941778579846051</v>
      </c>
      <c r="J59" s="88">
        <f>0.18*$L$34*(100*$H$11*$B$3)^(1/3)/$B$4</f>
        <v>0.77883557159692096</v>
      </c>
      <c r="K59" s="152">
        <f>0.075*$L$34^1.5*$B$3^0.5/$B$4</f>
        <v>0.65186383383531854</v>
      </c>
      <c r="N59">
        <f>IF(L58&gt;=M58,MAX(N58,0),N57)</f>
        <v>0.15470053837925191</v>
      </c>
      <c r="O59" s="128"/>
    </row>
    <row r="60" spans="1:15" ht="18.75" x14ac:dyDescent="0.3">
      <c r="A60" s="112" t="s">
        <v>23</v>
      </c>
      <c r="B60" s="78">
        <f>B57</f>
        <v>90</v>
      </c>
      <c r="C60" s="78">
        <f t="shared" si="0"/>
        <v>1.5707963267948966</v>
      </c>
      <c r="D60" s="79" t="s">
        <v>34</v>
      </c>
      <c r="E60" s="80">
        <f>$G$17*0.9*$B$11*$D$5*(1/TAN(C61))/$F$17/1000</f>
        <v>75.16430963759278</v>
      </c>
      <c r="F60" s="123">
        <f>E60/$I$48</f>
        <v>0.44658256889742093</v>
      </c>
      <c r="G60" s="90" t="s">
        <v>108</v>
      </c>
      <c r="H60" s="91">
        <f>($A$15*$I$11*(100*$H$11*$B$3)^(1/3))*$D$12*$B$11/1000</f>
        <v>38.941778579846051</v>
      </c>
      <c r="I60" s="81">
        <f>J60+K60</f>
        <v>101.7443565583513</v>
      </c>
      <c r="J60" s="81">
        <f>0.9*$B$11*SIN(C60)*(1/TAN(C60)+1/TAN(C61))*$G$17*MIN($D$5,400)/$F$17/1000</f>
        <v>69.151164866585376</v>
      </c>
      <c r="K60" s="148">
        <f>MAX(K61*$D$12*$B$11*N62/1000,K62*$D$12*$B$11/1000)</f>
        <v>32.593191691765924</v>
      </c>
      <c r="N60">
        <f>(2*L61-1)/(2*M61-1)</f>
        <v>1.9050898988857812E-2</v>
      </c>
      <c r="O60" s="128">
        <f>0.9*0.5*(L61-1/TAN(C60))</f>
        <v>0.22928645227249297</v>
      </c>
    </row>
    <row r="61" spans="1:15" ht="18.75" x14ac:dyDescent="0.3">
      <c r="A61" s="82" t="s">
        <v>24</v>
      </c>
      <c r="B61" s="71">
        <v>63</v>
      </c>
      <c r="C61" s="71">
        <f t="shared" si="0"/>
        <v>1.0995574287564276</v>
      </c>
      <c r="D61" s="74" t="s">
        <v>33</v>
      </c>
      <c r="E61" s="75">
        <f>$B$7*$D$12*0.9*$B$11*$B$8*$B$5/(L61+TAN(C61))/1000</f>
        <v>163.82594136092686</v>
      </c>
      <c r="F61" s="124">
        <f>E61/$I$49</f>
        <v>0.6553037654437075</v>
      </c>
      <c r="G61" s="92" t="s">
        <v>109</v>
      </c>
      <c r="H61" s="93">
        <f>$B$15*$D$12*$B$11/1000</f>
        <v>22.815234184236154</v>
      </c>
      <c r="I61" s="76">
        <f>0.6*$B$5*$D$12*$B$11*(L61+1/TAN(C60))/(1+L61^2)/1000</f>
        <v>202.25424859373695</v>
      </c>
      <c r="J61" s="76"/>
      <c r="K61" s="149">
        <f>0.15*$L$34*(100*$H$11*$B$3)^(1/3)*N60/$B$4</f>
        <v>1.2364598169518563E-2</v>
      </c>
      <c r="L61">
        <f>1/TAN(C61)</f>
        <v>0.50952544949442891</v>
      </c>
      <c r="M61" s="65">
        <v>1</v>
      </c>
      <c r="N61">
        <f>MIN((L61-2)/(M61-2),2)</f>
        <v>1.4904745505055712</v>
      </c>
      <c r="O61" s="128"/>
    </row>
    <row r="62" spans="1:15" ht="19.5" thickBot="1" x14ac:dyDescent="0.35">
      <c r="A62" s="115"/>
      <c r="B62" s="84"/>
      <c r="C62" s="84"/>
      <c r="D62" s="85" t="s">
        <v>19</v>
      </c>
      <c r="E62" s="86">
        <f>MAX(H60:H61)</f>
        <v>38.941778579846051</v>
      </c>
      <c r="F62" s="125">
        <f>E62/$I$50</f>
        <v>1</v>
      </c>
      <c r="G62" s="84"/>
      <c r="H62" s="88"/>
      <c r="I62" s="88">
        <f>MAX(J62:K62)*$D$12*$B$11/1000</f>
        <v>38.941778579846051</v>
      </c>
      <c r="J62" s="88">
        <f>0.18*$L$34*(100*$H$11*$B$3)^(1/3)/$B$4</f>
        <v>0.77883557159692096</v>
      </c>
      <c r="K62" s="152">
        <f>0.075*$L$34^1.5*$B$3^0.5/$B$4</f>
        <v>0.65186383383531854</v>
      </c>
      <c r="N62">
        <f>IF(L61&gt;=M61,MAX(N61,0),N60)</f>
        <v>1.9050898988857812E-2</v>
      </c>
    </row>
  </sheetData>
  <mergeCells count="5">
    <mergeCell ref="D20:H20"/>
    <mergeCell ref="D21:H21"/>
    <mergeCell ref="D22:H22"/>
    <mergeCell ref="C9:F9"/>
    <mergeCell ref="A2:F2"/>
  </mergeCells>
  <dataValidations disablePrompts="1" count="2">
    <dataValidation type="list" allowBlank="1" showInputMessage="1" showErrorMessage="1" sqref="F5" xr:uid="{63BD5AB5-5D92-4FD0-BB45-E26B1E4F7FE0}">
      <mc:AlternateContent xmlns:x12ac="http://schemas.microsoft.com/office/spreadsheetml/2011/1/ac" xmlns:mc="http://schemas.openxmlformats.org/markup-compatibility/2006">
        <mc:Choice Requires="x12ac">
          <x12ac:list>NO,400 MPa,"0,8·fyd"</x12ac:list>
        </mc:Choice>
        <mc:Fallback>
          <formula1>"NO,400 MPa,0,8·fyd"</formula1>
        </mc:Fallback>
      </mc:AlternateContent>
    </dataValidation>
    <dataValidation type="list" allowBlank="1" showInputMessage="1" showErrorMessage="1" sqref="F11:F12 D11" xr:uid="{C13BA180-A9B2-4420-B6AE-5441A44DA88B}">
      <formula1>"6,8,10,12,16,20"</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D5361-1B76-4F5B-851B-6ED707EAEA21}">
  <dimension ref="A1:S61"/>
  <sheetViews>
    <sheetView topLeftCell="A10" zoomScaleNormal="100" workbookViewId="0">
      <selection activeCell="E28" sqref="E28"/>
    </sheetView>
  </sheetViews>
  <sheetFormatPr baseColWidth="10" defaultRowHeight="15" x14ac:dyDescent="0.25"/>
  <cols>
    <col min="1" max="1" width="18.85546875" bestFit="1" customWidth="1"/>
    <col min="2" max="2" width="9.140625" bestFit="1" customWidth="1"/>
    <col min="3" max="4" width="16.85546875" bestFit="1" customWidth="1"/>
    <col min="5" max="5" width="15.140625" bestFit="1" customWidth="1"/>
    <col min="6" max="7" width="10.85546875" bestFit="1" customWidth="1"/>
    <col min="8" max="8" width="9.28515625" bestFit="1" customWidth="1"/>
    <col min="9" max="9" width="9.140625" bestFit="1" customWidth="1"/>
    <col min="10" max="11" width="13" bestFit="1" customWidth="1"/>
    <col min="12" max="12" width="13.7109375" bestFit="1" customWidth="1"/>
    <col min="13" max="13" width="24.28515625" bestFit="1" customWidth="1"/>
    <col min="14" max="14" width="21.5703125" bestFit="1" customWidth="1"/>
  </cols>
  <sheetData>
    <row r="1" spans="1:9" ht="15.75" thickBot="1" x14ac:dyDescent="0.3"/>
    <row r="2" spans="1:9" x14ac:dyDescent="0.25">
      <c r="A2" s="160" t="s">
        <v>6</v>
      </c>
      <c r="B2" s="161"/>
      <c r="C2" s="161"/>
      <c r="D2" s="161"/>
      <c r="E2" s="161"/>
      <c r="F2" s="162"/>
    </row>
    <row r="3" spans="1:9" x14ac:dyDescent="0.25">
      <c r="A3" s="61" t="s">
        <v>0</v>
      </c>
      <c r="B3" s="2">
        <v>25</v>
      </c>
      <c r="C3" t="s">
        <v>3</v>
      </c>
      <c r="D3" s="2">
        <v>500</v>
      </c>
      <c r="F3" s="63"/>
    </row>
    <row r="4" spans="1:9" x14ac:dyDescent="0.25">
      <c r="A4" s="62" t="s">
        <v>1</v>
      </c>
      <c r="B4" s="2">
        <v>1.5</v>
      </c>
      <c r="C4" s="1" t="s">
        <v>4</v>
      </c>
      <c r="D4" s="2">
        <v>1.1499999999999999</v>
      </c>
      <c r="F4" s="63"/>
      <c r="H4" s="1"/>
    </row>
    <row r="5" spans="1:9" x14ac:dyDescent="0.25">
      <c r="A5" s="61" t="s">
        <v>2</v>
      </c>
      <c r="B5" s="65">
        <f>B3/B4</f>
        <v>16.666666666666668</v>
      </c>
      <c r="C5" t="s">
        <v>5</v>
      </c>
      <c r="D5" s="65">
        <f>IF(F5="NO",D3/D4,IF(F5="400 Mpa",MIN(D3/D4,400),MIN(0.8*D3,D3/D4)))</f>
        <v>434.78260869565219</v>
      </c>
      <c r="E5" t="s">
        <v>32</v>
      </c>
      <c r="F5" s="69" t="s">
        <v>112</v>
      </c>
    </row>
    <row r="6" spans="1:9" x14ac:dyDescent="0.25">
      <c r="A6" s="61" t="s">
        <v>103</v>
      </c>
      <c r="B6" s="65">
        <f>0.3*B3^(2/3)</f>
        <v>2.5649639200150443</v>
      </c>
      <c r="D6" s="65"/>
      <c r="F6" s="63"/>
    </row>
    <row r="7" spans="1:9" x14ac:dyDescent="0.25">
      <c r="A7" s="62" t="s">
        <v>30</v>
      </c>
      <c r="B7">
        <v>1</v>
      </c>
      <c r="D7" s="65"/>
      <c r="F7" s="63"/>
    </row>
    <row r="8" spans="1:9" ht="15.75" thickBot="1" x14ac:dyDescent="0.3">
      <c r="A8" s="62" t="s">
        <v>31</v>
      </c>
      <c r="B8">
        <f>IF(F5="0,8·fyd",0.6,0.6*(1-B3/250))</f>
        <v>0.54</v>
      </c>
      <c r="D8" s="65"/>
      <c r="F8" s="63"/>
    </row>
    <row r="9" spans="1:9" x14ac:dyDescent="0.25">
      <c r="A9" s="58" t="s">
        <v>7</v>
      </c>
      <c r="B9" s="59"/>
      <c r="C9" s="159" t="s">
        <v>43</v>
      </c>
      <c r="D9" s="159"/>
      <c r="E9" s="159"/>
      <c r="F9" s="159"/>
      <c r="G9" s="59"/>
      <c r="H9" s="59"/>
      <c r="I9" s="60"/>
    </row>
    <row r="10" spans="1:9" x14ac:dyDescent="0.25">
      <c r="A10" s="61" t="s">
        <v>10</v>
      </c>
      <c r="B10" s="2">
        <v>250</v>
      </c>
      <c r="D10" s="1" t="s">
        <v>13</v>
      </c>
      <c r="E10" t="s">
        <v>12</v>
      </c>
      <c r="F10" s="1" t="s">
        <v>13</v>
      </c>
      <c r="G10" s="1" t="s">
        <v>14</v>
      </c>
      <c r="H10" s="1" t="s">
        <v>15</v>
      </c>
      <c r="I10" s="64" t="s">
        <v>16</v>
      </c>
    </row>
    <row r="11" spans="1:9" ht="15.75" thickBot="1" x14ac:dyDescent="0.3">
      <c r="A11" s="61" t="s">
        <v>9</v>
      </c>
      <c r="B11" s="2">
        <v>450</v>
      </c>
      <c r="C11" s="2">
        <v>2</v>
      </c>
      <c r="D11" s="2">
        <v>16</v>
      </c>
      <c r="E11" s="2">
        <v>0</v>
      </c>
      <c r="F11" s="2">
        <v>20</v>
      </c>
      <c r="G11" s="65">
        <f>C11*D11^2*PI()*0.25+E11*F11^2*PI()*0.25</f>
        <v>402.12385965949352</v>
      </c>
      <c r="H11" s="122">
        <f>MIN(G11/(B10*B11),0.02)</f>
        <v>3.574434308084387E-3</v>
      </c>
      <c r="I11" s="68">
        <f>MIN(1+(200/B11)^0.5,2)</f>
        <v>1.6666666666666665</v>
      </c>
    </row>
    <row r="12" spans="1:9" x14ac:dyDescent="0.25">
      <c r="A12" s="100" t="s">
        <v>11</v>
      </c>
      <c r="B12" s="101"/>
      <c r="C12" s="106"/>
      <c r="D12" s="100" t="s">
        <v>20</v>
      </c>
      <c r="E12" s="101"/>
      <c r="F12" s="101"/>
      <c r="G12" s="101"/>
      <c r="H12" s="102"/>
    </row>
    <row r="13" spans="1:9" x14ac:dyDescent="0.25">
      <c r="A13" s="103" t="s">
        <v>17</v>
      </c>
      <c r="B13" s="71" t="s">
        <v>18</v>
      </c>
      <c r="C13" s="107"/>
      <c r="D13" s="82" t="s">
        <v>23</v>
      </c>
      <c r="E13" s="73">
        <v>90</v>
      </c>
      <c r="F13" s="71"/>
      <c r="G13" s="71"/>
      <c r="H13" s="83"/>
    </row>
    <row r="14" spans="1:9" ht="15.75" thickBot="1" x14ac:dyDescent="0.3">
      <c r="A14" s="104">
        <f>0.18/B4</f>
        <v>0.12</v>
      </c>
      <c r="B14" s="105">
        <f>0.035*I11^1.5*B3^0.5</f>
        <v>0.37654004754794335</v>
      </c>
      <c r="C14" s="108"/>
      <c r="D14" s="103" t="s">
        <v>26</v>
      </c>
      <c r="E14" s="71"/>
      <c r="F14" s="71"/>
      <c r="G14" s="71"/>
      <c r="H14" s="83"/>
    </row>
    <row r="15" spans="1:9" x14ac:dyDescent="0.25">
      <c r="D15" s="103" t="s">
        <v>12</v>
      </c>
      <c r="E15" s="72" t="s">
        <v>13</v>
      </c>
      <c r="F15" s="71" t="s">
        <v>27</v>
      </c>
      <c r="G15" s="71" t="s">
        <v>29</v>
      </c>
      <c r="H15" s="109" t="s">
        <v>28</v>
      </c>
    </row>
    <row r="16" spans="1:9" x14ac:dyDescent="0.25">
      <c r="D16" s="110">
        <v>2</v>
      </c>
      <c r="E16" s="73">
        <v>6</v>
      </c>
      <c r="F16" s="73">
        <v>100</v>
      </c>
      <c r="G16" s="76">
        <f>D16*E16^2*PI()*0.25</f>
        <v>56.548667764616276</v>
      </c>
      <c r="H16" s="111">
        <f>G16/(F16*B10*SIN(E13*PI()/180))</f>
        <v>2.2619467105846509E-3</v>
      </c>
    </row>
    <row r="17" spans="1:12" x14ac:dyDescent="0.25">
      <c r="D17" s="103" t="s">
        <v>25</v>
      </c>
      <c r="E17" s="71"/>
      <c r="F17" s="71" t="s">
        <v>22</v>
      </c>
      <c r="G17" s="72" t="s">
        <v>21</v>
      </c>
      <c r="H17" s="83"/>
    </row>
    <row r="18" spans="1:12" x14ac:dyDescent="0.25">
      <c r="D18" s="103">
        <f>FLOOR(MIN(0.75*B11,600),1)</f>
        <v>337</v>
      </c>
      <c r="E18" s="71"/>
      <c r="F18" s="71">
        <f>FLOOR(0.75*B11+(1+1/TAN(E13*PI()/180)),1)</f>
        <v>338</v>
      </c>
      <c r="G18" s="99">
        <f>0.08*(B3)^0.5/D3</f>
        <v>8.0000000000000004E-4</v>
      </c>
      <c r="H18" s="83"/>
    </row>
    <row r="19" spans="1:12" x14ac:dyDescent="0.25">
      <c r="D19" s="153" t="str">
        <f>IF(F16&gt;F18,"NO CUMPLE DISTANCIA MÁXIMA LONGITUDINAL","-")</f>
        <v>-</v>
      </c>
      <c r="E19" s="154"/>
      <c r="F19" s="154"/>
      <c r="G19" s="154"/>
      <c r="H19" s="155"/>
    </row>
    <row r="20" spans="1:12" x14ac:dyDescent="0.25">
      <c r="D20" s="153" t="str">
        <f>IF((B10-40)/(D16-1)&gt;D18,"NO CUMPLE DISTANCIA MÁXIMA TRANSVERSAL","-")</f>
        <v>-</v>
      </c>
      <c r="E20" s="154"/>
      <c r="F20" s="154"/>
      <c r="G20" s="154"/>
      <c r="H20" s="155"/>
    </row>
    <row r="21" spans="1:12" ht="15.75" thickBot="1" x14ac:dyDescent="0.3">
      <c r="D21" s="156" t="str">
        <f>IF(H16&lt;G18,"NO CUMPLE CUANTÍA MÍNIMA","-")</f>
        <v>-</v>
      </c>
      <c r="E21" s="157"/>
      <c r="F21" s="157"/>
      <c r="G21" s="157"/>
      <c r="H21" s="158"/>
    </row>
    <row r="24" spans="1:12" ht="18.75" x14ac:dyDescent="0.3">
      <c r="A24" s="66"/>
      <c r="C24" s="66"/>
    </row>
    <row r="25" spans="1:12" ht="18.75" x14ac:dyDescent="0.3">
      <c r="A25" s="67"/>
      <c r="B25" s="67"/>
      <c r="C25" s="67"/>
    </row>
    <row r="26" spans="1:12" ht="18.75" x14ac:dyDescent="0.3">
      <c r="A26" s="98"/>
      <c r="B26" s="98"/>
      <c r="C26" s="67"/>
    </row>
    <row r="27" spans="1:12" x14ac:dyDescent="0.25">
      <c r="B27" s="57"/>
    </row>
    <row r="28" spans="1:12" ht="33.75" x14ac:dyDescent="0.5">
      <c r="A28" s="70"/>
      <c r="B28" s="70"/>
    </row>
    <row r="30" spans="1:12" x14ac:dyDescent="0.25">
      <c r="I30" t="s">
        <v>102</v>
      </c>
    </row>
    <row r="31" spans="1:12" x14ac:dyDescent="0.25">
      <c r="I31" t="s">
        <v>110</v>
      </c>
      <c r="J31" t="s">
        <v>100</v>
      </c>
      <c r="K31" t="s">
        <v>99</v>
      </c>
    </row>
    <row r="32" spans="1:12" x14ac:dyDescent="0.25">
      <c r="I32" t="s">
        <v>101</v>
      </c>
      <c r="K32" t="s">
        <v>115</v>
      </c>
      <c r="L32" s="1" t="s">
        <v>106</v>
      </c>
    </row>
    <row r="33" spans="1:19" x14ac:dyDescent="0.25">
      <c r="I33" t="s">
        <v>98</v>
      </c>
      <c r="J33" t="s">
        <v>113</v>
      </c>
      <c r="K33" t="s">
        <v>114</v>
      </c>
      <c r="L33">
        <f>MIN(1+(200/B11)^0.5,2)</f>
        <v>1.6666666666666665</v>
      </c>
    </row>
    <row r="34" spans="1:19" ht="15.75" thickBot="1" x14ac:dyDescent="0.3">
      <c r="A34" s="77"/>
      <c r="B34" s="77" t="s">
        <v>36</v>
      </c>
      <c r="C34" s="77" t="s">
        <v>37</v>
      </c>
      <c r="D34" s="77"/>
      <c r="E34" s="77"/>
      <c r="F34" s="126" t="s">
        <v>111</v>
      </c>
      <c r="G34" s="77"/>
      <c r="H34" s="77"/>
      <c r="I34" s="77"/>
      <c r="J34" s="71"/>
      <c r="K34" s="71"/>
      <c r="L34" t="s">
        <v>104</v>
      </c>
      <c r="M34" t="s">
        <v>105</v>
      </c>
      <c r="N34" s="1" t="s">
        <v>93</v>
      </c>
      <c r="O34" s="1" t="s">
        <v>107</v>
      </c>
    </row>
    <row r="35" spans="1:19" ht="18.75" x14ac:dyDescent="0.3">
      <c r="A35" s="112" t="s">
        <v>23</v>
      </c>
      <c r="B35" s="78">
        <f>E13</f>
        <v>90</v>
      </c>
      <c r="C35" s="78">
        <f t="shared" ref="C35:C60" si="0">B35*PI()/180</f>
        <v>1.5707963267948966</v>
      </c>
      <c r="D35" s="79" t="s">
        <v>34</v>
      </c>
      <c r="E35" s="118">
        <f>$G$16*0.9*$B$11*$D$5*(1/TAN(C36))/$F$16/1000</f>
        <v>199.71620776198276</v>
      </c>
      <c r="F35" s="123">
        <f>E35/$I$47</f>
        <v>1.2475230634865151</v>
      </c>
      <c r="G35" s="90" t="s">
        <v>108</v>
      </c>
      <c r="H35" s="91">
        <f>($A$14*$I$11*(100*$H$11*$B$3)^(1/3))*$B$10*$B$11/1000</f>
        <v>46.690833590177633</v>
      </c>
      <c r="I35" s="81">
        <f>J35+K35</f>
        <v>260.23157254647367</v>
      </c>
      <c r="J35" s="76">
        <f>0.9*$B$11*SIN(C35)*(1/TAN(C35)+1/TAN(C36))*$G$16*$D$5/$F$16/1000</f>
        <v>199.71620776198276</v>
      </c>
      <c r="K35" s="76">
        <f>MAX(K36,K37)*$B$10*$B$11/1000</f>
        <v>60.515364784490885</v>
      </c>
      <c r="O35" s="127">
        <f>0.9*0.5*(L36-1/TAN(C35))</f>
        <v>0.90256036871655887</v>
      </c>
    </row>
    <row r="36" spans="1:19" ht="18.75" x14ac:dyDescent="0.3">
      <c r="A36" s="82" t="s">
        <v>24</v>
      </c>
      <c r="B36" s="119">
        <v>26.5</v>
      </c>
      <c r="C36" s="71">
        <f t="shared" si="0"/>
        <v>0.46251225177849731</v>
      </c>
      <c r="D36" s="74" t="s">
        <v>33</v>
      </c>
      <c r="E36" s="121">
        <f>$B$7*$B$10*0.9*$B$11*$B$8*$B$5/(L36+TAN(C36))/1000</f>
        <v>363.87830426529791</v>
      </c>
      <c r="F36" s="124">
        <f>E36/$I$48</f>
        <v>0.6468947631383074</v>
      </c>
      <c r="G36" s="92" t="s">
        <v>109</v>
      </c>
      <c r="H36" s="93">
        <f>$B$14*$B$10*$B$11/1000</f>
        <v>42.360755349143624</v>
      </c>
      <c r="I36" s="76">
        <f>0.6*$B$5*$B$10*$B$11*(L36+1/TAN(C35))/(1+L36^2)/1000</f>
        <v>449.23247440160225</v>
      </c>
      <c r="J36" s="76"/>
      <c r="K36" s="76">
        <f>0.15*$L$33*(100*$H$11*$B$3)^(1/3)*N36/$B$4</f>
        <v>0</v>
      </c>
      <c r="L36">
        <f>1/TAN(C36)</f>
        <v>2.0056897082590197</v>
      </c>
      <c r="M36">
        <v>1</v>
      </c>
      <c r="N36">
        <f>MAX(IF(L36&lt;M36,(2*L36-1)/(2*M36-1),(L36-2)/(M36-2)),0)</f>
        <v>0</v>
      </c>
      <c r="O36" s="128"/>
    </row>
    <row r="37" spans="1:19" ht="19.5" thickBot="1" x14ac:dyDescent="0.35">
      <c r="A37" s="113"/>
      <c r="B37" s="84"/>
      <c r="C37" s="84"/>
      <c r="D37" s="85" t="s">
        <v>19</v>
      </c>
      <c r="E37" s="86">
        <f>MAX(H35:H36)</f>
        <v>46.690833590177633</v>
      </c>
      <c r="F37" s="125">
        <f>E37/$I$49</f>
        <v>0.77155336923861262</v>
      </c>
      <c r="G37" s="94"/>
      <c r="H37" s="95"/>
      <c r="I37" s="88">
        <f>MAX(J37:K37)*$B$10*$B$11/1000</f>
        <v>60.515364784490885</v>
      </c>
      <c r="J37" s="76">
        <f>0.18*$L$33*(100*$H$11*$B$3)^(1/3)/$B$4</f>
        <v>0.41502963191269004</v>
      </c>
      <c r="K37" s="76">
        <f>0.075*$L$33^1.5*$B$3^0.5/$B$4</f>
        <v>0.53791435363991902</v>
      </c>
      <c r="O37" s="128"/>
    </row>
    <row r="38" spans="1:19" ht="18.75" x14ac:dyDescent="0.3">
      <c r="A38" s="112" t="s">
        <v>23</v>
      </c>
      <c r="B38" s="78">
        <f>B35</f>
        <v>90</v>
      </c>
      <c r="C38" s="78">
        <f t="shared" si="0"/>
        <v>1.5707963267948966</v>
      </c>
      <c r="D38" s="79" t="s">
        <v>34</v>
      </c>
      <c r="E38" s="80">
        <f>$G$16*0.9*$B$11*$D$5*(1/TAN(C39))/$F$16/1000</f>
        <v>172.46866128609716</v>
      </c>
      <c r="F38" s="123">
        <f>E38/$I$47</f>
        <v>1.0773218412972831</v>
      </c>
      <c r="G38" s="90" t="s">
        <v>108</v>
      </c>
      <c r="H38" s="91">
        <f>($A$14*$I$11*(100*$H$11*$B$3)^(1/3))*$B$10*$B$11/1000</f>
        <v>46.690833590177633</v>
      </c>
      <c r="I38" s="81">
        <f>J38+K38</f>
        <v>232.98402607058804</v>
      </c>
      <c r="J38" s="76">
        <f>0.9*$B$11*SIN(C38)*(1/TAN(C38)+1/TAN(C39))*$G$16*$D$5/$F$16/1000</f>
        <v>172.46866128609716</v>
      </c>
      <c r="K38" s="76">
        <f>MAX(K39,K40)*$B$10*$B$11/1000</f>
        <v>60.515364784490885</v>
      </c>
      <c r="O38" s="128">
        <f>0.9*0.5*(L39-1/TAN(C38))</f>
        <v>0.77942286340599487</v>
      </c>
    </row>
    <row r="39" spans="1:19" ht="18.75" x14ac:dyDescent="0.3">
      <c r="A39" s="82" t="s">
        <v>24</v>
      </c>
      <c r="B39" s="71">
        <v>30</v>
      </c>
      <c r="C39" s="71">
        <f t="shared" si="0"/>
        <v>0.52359877559829882</v>
      </c>
      <c r="D39" s="74" t="s">
        <v>33</v>
      </c>
      <c r="E39" s="75">
        <f>$B$7*$B$10*0.9*$B$11*$B$8*$B$5/(L39+TAN(C39))/1000</f>
        <v>394.58282459928489</v>
      </c>
      <c r="F39" s="124">
        <f>E39/$I$48</f>
        <v>0.70148057706539535</v>
      </c>
      <c r="G39" s="92" t="s">
        <v>109</v>
      </c>
      <c r="H39" s="93">
        <f>$B$14*$B$10*$B$11/1000</f>
        <v>42.360755349143624</v>
      </c>
      <c r="I39" s="76">
        <f>0.6*$B$5*$B$10*$B$11*(L39+1/TAN(C38))/(1+L39^2)/1000</f>
        <v>487.13928962874672</v>
      </c>
      <c r="J39" s="76"/>
      <c r="K39" s="76">
        <f>0.15*$L$33*(100*$H$11*$B$3)^(1/3)*N39/$B$4</f>
        <v>9.2672378921659457E-2</v>
      </c>
      <c r="L39">
        <f>1/TAN(C39)</f>
        <v>1.7320508075688774</v>
      </c>
      <c r="M39">
        <v>1</v>
      </c>
      <c r="N39">
        <f>MAX(IF(L39&lt;M39,(2*L39-1)/(2*M39-1),(L39-2)/(M39-2)),0)</f>
        <v>0.26794919243112258</v>
      </c>
      <c r="O39" s="128"/>
    </row>
    <row r="40" spans="1:19" ht="19.5" thickBot="1" x14ac:dyDescent="0.35">
      <c r="A40" s="113"/>
      <c r="B40" s="84"/>
      <c r="C40" s="84"/>
      <c r="D40" s="85" t="s">
        <v>19</v>
      </c>
      <c r="E40" s="86">
        <f>MAX(H38:H39)</f>
        <v>46.690833590177633</v>
      </c>
      <c r="F40" s="125">
        <f>E40/$I$49</f>
        <v>0.77155336923861262</v>
      </c>
      <c r="G40" s="94"/>
      <c r="H40" s="95"/>
      <c r="I40" s="88">
        <f>MAX(J40:K40)*$B$10*$B$11/1000</f>
        <v>60.515364784490885</v>
      </c>
      <c r="J40" s="76">
        <f>0.18*$L$33*(100*$H$11*$B$3)^(1/3)/$B$4</f>
        <v>0.41502963191269004</v>
      </c>
      <c r="K40" s="76">
        <f>0.075*$L$33^1.5*$B$3^0.5/$B$4</f>
        <v>0.53791435363991902</v>
      </c>
      <c r="O40" s="128"/>
    </row>
    <row r="41" spans="1:19" ht="18.75" x14ac:dyDescent="0.3">
      <c r="A41" s="112" t="s">
        <v>23</v>
      </c>
      <c r="B41" s="78">
        <f>B38</f>
        <v>90</v>
      </c>
      <c r="C41" s="78">
        <f t="shared" si="0"/>
        <v>1.5707963267948966</v>
      </c>
      <c r="D41" s="79" t="s">
        <v>34</v>
      </c>
      <c r="E41" s="80">
        <f>$G$16*0.9*$B$11*$D$5*(1/TAN(C42))/$F$16/1000</f>
        <v>142.20759215888398</v>
      </c>
      <c r="F41" s="123">
        <f>E41/$I$47</f>
        <v>0.88829671366743446</v>
      </c>
      <c r="G41" s="90" t="s">
        <v>108</v>
      </c>
      <c r="H41" s="91">
        <f>($A$14*$I$11*(100*$H$11*$B$3)^(1/3))*$B$10*$B$11/1000</f>
        <v>46.690833590177633</v>
      </c>
      <c r="I41" s="81">
        <f>J41+K41</f>
        <v>202.72295694337487</v>
      </c>
      <c r="J41" s="76">
        <f>0.9*$B$11*SIN(C41)*(1/TAN(C41)+1/TAN(C42))*$G$16*$D$5/$F$16/1000</f>
        <v>142.20759215888398</v>
      </c>
      <c r="K41" s="76">
        <f>MAX(K42,K43)*$B$10*$B$11/1000</f>
        <v>60.515364784490885</v>
      </c>
      <c r="O41" s="128">
        <f>0.9*0.5*(L42-1/TAN(C41))</f>
        <v>0.64266660303395162</v>
      </c>
    </row>
    <row r="42" spans="1:19" ht="18.75" x14ac:dyDescent="0.3">
      <c r="A42" s="82" t="s">
        <v>24</v>
      </c>
      <c r="B42" s="71">
        <v>35</v>
      </c>
      <c r="C42" s="71">
        <f t="shared" si="0"/>
        <v>0.6108652381980153</v>
      </c>
      <c r="D42" s="74" t="s">
        <v>33</v>
      </c>
      <c r="E42" s="75">
        <f>$B$7*$B$10*0.9*$B$11*$B$8*$B$5/(L42+TAN(C42))/1000</f>
        <v>428.14745034557961</v>
      </c>
      <c r="F42" s="124">
        <f>E42/$I$48</f>
        <v>0.76115102283658598</v>
      </c>
      <c r="G42" s="92" t="s">
        <v>109</v>
      </c>
      <c r="H42" s="93">
        <f>$B$14*$B$10*$B$11/1000</f>
        <v>42.360755349143624</v>
      </c>
      <c r="I42" s="76">
        <f>0.6*$B$5*$B$10*$B$11*(L42+1/TAN(C41))/(1+L42^2)/1000</f>
        <v>528.57709919207343</v>
      </c>
      <c r="J42" s="76"/>
      <c r="K42" s="76">
        <f>0.15*$L$33*(100*$H$11*$B$3)^(1/3)*N42/$B$4</f>
        <v>0.1977796018919652</v>
      </c>
      <c r="L42">
        <f>1/TAN(C42)</f>
        <v>1.4281480067421146</v>
      </c>
      <c r="M42">
        <v>1</v>
      </c>
      <c r="N42">
        <f>MAX(IF(L42&lt;M42,(2*L42-1)/(2*M42-1),(L42-2)/(M42-2)),0)</f>
        <v>0.57185199325788538</v>
      </c>
      <c r="O42" s="128"/>
    </row>
    <row r="43" spans="1:19" ht="19.5" thickBot="1" x14ac:dyDescent="0.35">
      <c r="A43" s="113"/>
      <c r="B43" s="84"/>
      <c r="C43" s="84"/>
      <c r="D43" s="87" t="s">
        <v>19</v>
      </c>
      <c r="E43" s="86">
        <f>MAX(H41:H42)</f>
        <v>46.690833590177633</v>
      </c>
      <c r="F43" s="125">
        <f>E43/$I$49</f>
        <v>0.77155336923861262</v>
      </c>
      <c r="G43" s="94"/>
      <c r="H43" s="95"/>
      <c r="I43" s="88">
        <f>MAX(J43:K43)*$B$10*$B$11/1000</f>
        <v>60.515364784490885</v>
      </c>
      <c r="J43" s="76">
        <f>0.18*$L$33*(100*$H$11*$B$3)^(1/3)/$B$4</f>
        <v>0.41502963191269004</v>
      </c>
      <c r="K43" s="76">
        <f>0.075*$L$33^1.5*$B$3^0.5/$B$4</f>
        <v>0.53791435363991902</v>
      </c>
      <c r="O43" s="128"/>
    </row>
    <row r="44" spans="1:19" ht="18.75" x14ac:dyDescent="0.3">
      <c r="A44" s="112" t="s">
        <v>23</v>
      </c>
      <c r="B44" s="78">
        <f>B41</f>
        <v>90</v>
      </c>
      <c r="C44" s="78">
        <f t="shared" si="0"/>
        <v>1.5707963267948966</v>
      </c>
      <c r="D44" s="79" t="s">
        <v>34</v>
      </c>
      <c r="E44" s="80">
        <f>$G$16*0.9*$B$11*$D$5*(1/TAN(C45))/$F$16/1000</f>
        <v>118.6686590251462</v>
      </c>
      <c r="F44" s="123">
        <f>E44/$I$47</f>
        <v>0.74126126620289134</v>
      </c>
      <c r="G44" s="90" t="s">
        <v>108</v>
      </c>
      <c r="H44" s="91">
        <f>($A$14*$I$11*(100*$H$11*$B$3)^(1/3))*$B$10*$B$11/1000</f>
        <v>46.690833590177633</v>
      </c>
      <c r="I44" s="81">
        <f>J44+K44</f>
        <v>179.1840238096371</v>
      </c>
      <c r="J44" s="76">
        <f>0.9*$B$11*SIN(C44)*(1/TAN(C44)+1/TAN(C45))*$G$16*$D$5/$F$16/1000</f>
        <v>118.6686590251462</v>
      </c>
      <c r="K44" s="76">
        <f>MAX(K45,K46)*$B$10*$B$11/1000</f>
        <v>60.515364784490885</v>
      </c>
      <c r="O44" s="128">
        <f>0.9*0.5*(L45-1/TAN(C44))</f>
        <v>0.53628911666739454</v>
      </c>
    </row>
    <row r="45" spans="1:19" ht="18.75" x14ac:dyDescent="0.3">
      <c r="A45" s="82" t="s">
        <v>24</v>
      </c>
      <c r="B45" s="71">
        <v>40</v>
      </c>
      <c r="C45" s="71">
        <f t="shared" si="0"/>
        <v>0.69813170079773179</v>
      </c>
      <c r="D45" s="74" t="s">
        <v>33</v>
      </c>
      <c r="E45" s="75">
        <f>$B$7*$B$10*0.9*$B$11*$B$8*$B$5/(L45+TAN(C45))/1000</f>
        <v>448.70303246618738</v>
      </c>
      <c r="F45" s="124">
        <f>E45/$I$48</f>
        <v>0.79769427993988873</v>
      </c>
      <c r="G45" s="92" t="s">
        <v>109</v>
      </c>
      <c r="H45" s="93">
        <f>$B$14*$B$10*$B$11/1000</f>
        <v>42.360755349143624</v>
      </c>
      <c r="I45" s="76">
        <f>0.6*$B$5*$B$10*$B$11*(L45+1/TAN(C44))/(1+L45^2)/1000</f>
        <v>553.954361069367</v>
      </c>
      <c r="J45" s="76"/>
      <c r="K45" s="76">
        <f>0.15*$L$33*(100*$H$11*$B$3)^(1/3)*N45/$B$4</f>
        <v>0.27953850746698256</v>
      </c>
      <c r="L45">
        <f>1/TAN(C45)</f>
        <v>1.19175359259421</v>
      </c>
      <c r="M45">
        <v>1</v>
      </c>
      <c r="N45">
        <f>MAX(IF(L45&lt;M45,(2*L45-1)/(2*M45-1),(L45-2)/(M45-2)),0)</f>
        <v>0.80824640740579001</v>
      </c>
      <c r="O45" s="128"/>
      <c r="R45">
        <f>0.15*$L$33*(100*$H$11*$B$3)^(1/3)*N48*$B$10*$B$11/$B$4/1000</f>
        <v>38.909027991814689</v>
      </c>
      <c r="S45">
        <f>0.075*$L$33^1.5*$B$3^0.5*$B$10*$B$11/1000</f>
        <v>90.773047176736341</v>
      </c>
    </row>
    <row r="46" spans="1:19" ht="19.5" thickBot="1" x14ac:dyDescent="0.35">
      <c r="A46" s="113"/>
      <c r="B46" s="84"/>
      <c r="C46" s="84"/>
      <c r="D46" s="85" t="s">
        <v>19</v>
      </c>
      <c r="E46" s="86">
        <f>MAX(H44:H45)</f>
        <v>46.690833590177633</v>
      </c>
      <c r="F46" s="125">
        <f>E46/$I$49</f>
        <v>0.77155336923861262</v>
      </c>
      <c r="G46" s="94"/>
      <c r="H46" s="95"/>
      <c r="I46" s="88">
        <f>MAX(J46:K46)*$B$10*$B$11/1000</f>
        <v>60.515364784490885</v>
      </c>
      <c r="J46" s="76">
        <f>0.18*$L$33*(100*$H$11*$B$3)^(1/3)/$B$4</f>
        <v>0.41502963191269004</v>
      </c>
      <c r="K46" s="76">
        <f>0.075*$L$33^1.5*$B$3^0.5/$B$4</f>
        <v>0.53791435363991902</v>
      </c>
      <c r="O46" s="128"/>
      <c r="Q46" t="s">
        <v>99</v>
      </c>
      <c r="R46">
        <f>0.15*$L$33*(100*$H$11*$B$3)^(1/3)*$B$10*$B$11/$B$4/1000</f>
        <v>38.909027991814689</v>
      </c>
      <c r="S46">
        <f>0.075*L33^1.5*B3^0.5/$B$4*$B$10*$B$11/1000</f>
        <v>60.515364784490885</v>
      </c>
    </row>
    <row r="47" spans="1:19" ht="18.75" x14ac:dyDescent="0.3">
      <c r="A47" s="112" t="s">
        <v>23</v>
      </c>
      <c r="B47" s="116">
        <f>B44</f>
        <v>90</v>
      </c>
      <c r="C47" s="116">
        <f t="shared" si="0"/>
        <v>1.5707963267948966</v>
      </c>
      <c r="D47" s="117" t="s">
        <v>34</v>
      </c>
      <c r="E47" s="118">
        <f>$G$16*0.9*$B$11*$D$5*(1/TAN(C48))/$F$16/1000</f>
        <v>99.574828020302576</v>
      </c>
      <c r="F47" s="123">
        <f>E47/$I$47</f>
        <v>0.62199205507684974</v>
      </c>
      <c r="G47" s="117" t="s">
        <v>108</v>
      </c>
      <c r="H47" s="91">
        <f>($A$14*$I$11*(100*$H$11*$B$3)^(1/3))*$B$10*$B$11/1000</f>
        <v>46.690833590177633</v>
      </c>
      <c r="I47" s="129">
        <f>J47+K47</f>
        <v>160.09019280479345</v>
      </c>
      <c r="J47" s="130">
        <f>0.9*$B$11*SIN(C47)*(1/TAN(C47)+1/TAN(C48))*$G$16*$D$5/$F$16/1000</f>
        <v>99.574828020302576</v>
      </c>
      <c r="K47" s="130">
        <f>MAX(K48,K49)*$B$10*$B$11/1000</f>
        <v>60.515364784490885</v>
      </c>
      <c r="O47" s="127">
        <f>0.9*0.5*(L48-1/TAN(C47))</f>
        <v>0.44999999999999996</v>
      </c>
      <c r="Q47" t="s">
        <v>100</v>
      </c>
      <c r="R47">
        <f>$G$16/$F$16*$D$5*0.9*$B$11/1000</f>
        <v>99.574828020302576</v>
      </c>
    </row>
    <row r="48" spans="1:19" ht="18.75" x14ac:dyDescent="0.3">
      <c r="A48" s="82" t="s">
        <v>24</v>
      </c>
      <c r="B48" s="119">
        <v>45</v>
      </c>
      <c r="C48" s="119">
        <f t="shared" si="0"/>
        <v>0.78539816339744828</v>
      </c>
      <c r="D48" s="120" t="s">
        <v>33</v>
      </c>
      <c r="E48" s="121">
        <f>$B$7*$B$10*0.9*$B$11*$B$8*$B$5/(L48+TAN(C48))/1000</f>
        <v>455.62500000000006</v>
      </c>
      <c r="F48" s="124">
        <f>E48/$I$48</f>
        <v>0.81</v>
      </c>
      <c r="G48" s="120" t="s">
        <v>109</v>
      </c>
      <c r="H48" s="121">
        <f>$B$14*$B$10*$B$11/1000</f>
        <v>42.360755349143624</v>
      </c>
      <c r="I48" s="130">
        <f>0.6*$B$5*$B$10*$B$11*(L48+1/TAN(C47))/(1+L48^2)/1000</f>
        <v>562.5</v>
      </c>
      <c r="J48" s="130"/>
      <c r="K48" s="130">
        <f>0.15*$L$33*(100*$H$11*$B$3)^(1/3)*N48/$B$4</f>
        <v>0.34585802659390835</v>
      </c>
      <c r="L48">
        <f>1/TAN(C48)</f>
        <v>1</v>
      </c>
      <c r="M48">
        <v>1</v>
      </c>
      <c r="N48">
        <f>MAX(IF(L48&lt;M48,(2*L48-1)/(2*M48-1),(L48-2)/(M48-2)),0)</f>
        <v>1</v>
      </c>
      <c r="O48" s="128"/>
    </row>
    <row r="49" spans="1:15" ht="19.5" thickBot="1" x14ac:dyDescent="0.35">
      <c r="A49" s="113"/>
      <c r="B49" s="84"/>
      <c r="C49" s="84"/>
      <c r="D49" s="85" t="s">
        <v>19</v>
      </c>
      <c r="E49" s="86">
        <f>MAX(H47:H48)</f>
        <v>46.690833590177633</v>
      </c>
      <c r="F49" s="125">
        <f>E49/$I$49</f>
        <v>0.77155336923861262</v>
      </c>
      <c r="G49" s="94"/>
      <c r="H49" s="95"/>
      <c r="I49" s="131">
        <f>MAX(J49:K49)*$B$10*$B$11/1000</f>
        <v>60.515364784490885</v>
      </c>
      <c r="J49" s="130">
        <f>0.18*$L$33*(100*$H$11*$B$3)^(1/3)/$B$4</f>
        <v>0.41502963191269004</v>
      </c>
      <c r="K49" s="130">
        <f>0.075*$L$33^1.5*$B$3^0.5/$B$4</f>
        <v>0.53791435363991902</v>
      </c>
      <c r="O49" s="128"/>
    </row>
    <row r="50" spans="1:15" ht="18.75" x14ac:dyDescent="0.3">
      <c r="A50" s="112" t="s">
        <v>23</v>
      </c>
      <c r="B50" s="78">
        <f>B47</f>
        <v>90</v>
      </c>
      <c r="C50" s="78">
        <f t="shared" si="0"/>
        <v>1.5707963267948966</v>
      </c>
      <c r="D50" s="79" t="s">
        <v>34</v>
      </c>
      <c r="E50" s="80">
        <f>$G$16*0.9*$B$11*$D$5*(1/TAN(C51))/$F$16/1000</f>
        <v>83.553201466376976</v>
      </c>
      <c r="F50" s="123">
        <f>E50/$I$47</f>
        <v>0.52191330401018299</v>
      </c>
      <c r="G50" s="90" t="s">
        <v>108</v>
      </c>
      <c r="H50" s="91">
        <f>($A$14*$I$11*(100*$H$11*$B$3)^(1/3))*$B$10*$B$11/1000</f>
        <v>46.690833590177633</v>
      </c>
      <c r="I50" s="81">
        <f>J50+K50</f>
        <v>144.06856625086786</v>
      </c>
      <c r="J50" s="76">
        <f>0.9*$B$11*SIN(C50)*(1/TAN(C50)+1/TAN(C51))*$G$16*$D$5/$F$16/1000</f>
        <v>83.553201466376976</v>
      </c>
      <c r="K50" s="76">
        <f>MAX(K51,K52)*$B$10*$B$11/1000</f>
        <v>60.515364784490885</v>
      </c>
      <c r="O50" s="128">
        <f>0.9*0.5*(L51-1/TAN(C50))</f>
        <v>0.37759483402977595</v>
      </c>
    </row>
    <row r="51" spans="1:15" ht="18.75" x14ac:dyDescent="0.3">
      <c r="A51" s="82" t="s">
        <v>24</v>
      </c>
      <c r="B51" s="71">
        <v>50</v>
      </c>
      <c r="C51" s="71">
        <f t="shared" si="0"/>
        <v>0.87266462599716477</v>
      </c>
      <c r="D51" s="74" t="s">
        <v>33</v>
      </c>
      <c r="E51" s="75">
        <f>$B$7*$B$10*0.9*$B$11*$B$8*$B$5/(L51+TAN(C51))/1000</f>
        <v>448.70303246618738</v>
      </c>
      <c r="F51" s="124">
        <f>E51/$I$48</f>
        <v>0.79769427993988873</v>
      </c>
      <c r="G51" s="92" t="s">
        <v>109</v>
      </c>
      <c r="H51" s="93">
        <f>$B$14*$B$10*$B$11/1000</f>
        <v>42.360755349143624</v>
      </c>
      <c r="I51" s="76">
        <f>0.6*$B$5*$B$10*$B$11*(L51+1/TAN(C50))/(1+L51^2)/1000</f>
        <v>553.95436106936711</v>
      </c>
      <c r="J51" s="76"/>
      <c r="K51" s="76">
        <f>0.15*$L$33*(100*$H$11*$B$3)^(1/3)*N51/$B$4</f>
        <v>0.23456065851539246</v>
      </c>
      <c r="L51">
        <f>1/TAN(C51)</f>
        <v>0.83909963117728004</v>
      </c>
      <c r="M51">
        <v>1</v>
      </c>
      <c r="N51">
        <f>MAX(IF(L51&lt;M51,(2*L51-1)/(2*M51-1),(L51-2)/(M51-2)),0)</f>
        <v>0.67819926235456007</v>
      </c>
      <c r="O51" s="128"/>
    </row>
    <row r="52" spans="1:15" ht="19.5" thickBot="1" x14ac:dyDescent="0.35">
      <c r="A52" s="113"/>
      <c r="B52" s="84"/>
      <c r="C52" s="84"/>
      <c r="D52" s="85" t="s">
        <v>19</v>
      </c>
      <c r="E52" s="86">
        <f>MAX(H50:H51)</f>
        <v>46.690833590177633</v>
      </c>
      <c r="F52" s="125">
        <f>E52/$I$49</f>
        <v>0.77155336923861262</v>
      </c>
      <c r="G52" s="94"/>
      <c r="H52" s="95"/>
      <c r="I52" s="88">
        <f>MAX(J52:K52)*$B$10*$B$11/1000</f>
        <v>60.515364784490885</v>
      </c>
      <c r="J52" s="76">
        <f>0.18*$L$33*(100*$H$11*$B$3)^(1/3)/$B$4</f>
        <v>0.41502963191269004</v>
      </c>
      <c r="K52" s="76">
        <f>0.075*$L$33^1.5*$B$3^0.5/$B$4</f>
        <v>0.53791435363991902</v>
      </c>
      <c r="O52" s="128"/>
    </row>
    <row r="53" spans="1:15" ht="18.75" x14ac:dyDescent="0.3">
      <c r="A53" s="112" t="s">
        <v>23</v>
      </c>
      <c r="B53" s="78">
        <f>B50</f>
        <v>90</v>
      </c>
      <c r="C53" s="78">
        <f t="shared" si="0"/>
        <v>1.5707963267948966</v>
      </c>
      <c r="D53" s="79" t="s">
        <v>34</v>
      </c>
      <c r="E53" s="80">
        <f>$G$16*0.9*$B$11*$D$5*(1/TAN(C54))/$F$16/1000</f>
        <v>69.723045195751297</v>
      </c>
      <c r="F53" s="123">
        <f>E53/$I$47</f>
        <v>0.43552352567135916</v>
      </c>
      <c r="G53" s="90" t="s">
        <v>108</v>
      </c>
      <c r="H53" s="91">
        <f>($A$14*$I$11*(100*$H$11*$B$3)^(1/3))*$B$10*$B$11/1000</f>
        <v>46.690833590177633</v>
      </c>
      <c r="I53" s="81">
        <f>J53+K53</f>
        <v>130.23840998024218</v>
      </c>
      <c r="J53" s="76">
        <f>0.9*$B$11*SIN(C53)*(1/TAN(C53)+1/TAN(C54))*$G$16*$D$5/$F$16/1000</f>
        <v>69.723045195751311</v>
      </c>
      <c r="K53" s="76">
        <f>MAX(K54,K55)*$B$10*$B$11/1000</f>
        <v>60.515364784490885</v>
      </c>
      <c r="O53" s="128">
        <f>0.9*0.5*(L54-1/TAN(C53))</f>
        <v>0.31509339219436938</v>
      </c>
    </row>
    <row r="54" spans="1:15" ht="18.75" x14ac:dyDescent="0.3">
      <c r="A54" s="82" t="s">
        <v>24</v>
      </c>
      <c r="B54" s="71">
        <v>55</v>
      </c>
      <c r="C54" s="71">
        <f t="shared" si="0"/>
        <v>0.95993108859688125</v>
      </c>
      <c r="D54" s="74" t="s">
        <v>33</v>
      </c>
      <c r="E54" s="75">
        <f>$B$7*$B$10*0.9*$B$11*$B$8*$B$5/(L54+TAN(C54))/1000</f>
        <v>428.14745034557961</v>
      </c>
      <c r="F54" s="124">
        <f>E54/$I$48</f>
        <v>0.76115102283658598</v>
      </c>
      <c r="G54" s="92" t="s">
        <v>109</v>
      </c>
      <c r="H54" s="93">
        <f>$B$14*$B$10*$B$11/1000</f>
        <v>42.360755349143624</v>
      </c>
      <c r="I54" s="76">
        <f>0.6*$B$5*$B$10*$B$11*(L54+1/TAN(C53))/(1+L54^2)/1000</f>
        <v>528.57709919207355</v>
      </c>
      <c r="J54" s="76"/>
      <c r="K54" s="76">
        <f>0.15*$L$33*(100*$H$11*$B$3)^(1/3)*N54/$B$4</f>
        <v>0.13848676814886948</v>
      </c>
      <c r="L54">
        <f>1/TAN(C54)</f>
        <v>0.70020753820970982</v>
      </c>
      <c r="M54">
        <v>1</v>
      </c>
      <c r="N54">
        <f>MAX(IF(L54&lt;M54,(2*L54-1)/(2*M54-1),(L54-2)/(M54-2)),0)</f>
        <v>0.40041507641941965</v>
      </c>
      <c r="O54" s="128"/>
    </row>
    <row r="55" spans="1:15" ht="19.5" thickBot="1" x14ac:dyDescent="0.35">
      <c r="A55" s="113"/>
      <c r="B55" s="84"/>
      <c r="C55" s="84"/>
      <c r="D55" s="85" t="s">
        <v>19</v>
      </c>
      <c r="E55" s="86">
        <f>MAX(H53:H54)</f>
        <v>46.690833590177633</v>
      </c>
      <c r="F55" s="125">
        <f>E55/$I$49</f>
        <v>0.77155336923861262</v>
      </c>
      <c r="G55" s="94"/>
      <c r="H55" s="95"/>
      <c r="I55" s="88">
        <f>MAX(J55:K55)*$B$10*$B$11/1000</f>
        <v>60.515364784490885</v>
      </c>
      <c r="J55" s="76">
        <f>0.18*$L$33*(100*$H$11*$B$3)^(1/3)/$B$4</f>
        <v>0.41502963191269004</v>
      </c>
      <c r="K55" s="76">
        <f>0.075*$L$33^1.5*$B$3^0.5/$B$4</f>
        <v>0.53791435363991902</v>
      </c>
      <c r="O55" s="128"/>
    </row>
    <row r="56" spans="1:15" ht="18.75" x14ac:dyDescent="0.3">
      <c r="A56" s="112" t="s">
        <v>23</v>
      </c>
      <c r="B56" s="78">
        <f>B53</f>
        <v>90</v>
      </c>
      <c r="C56" s="78">
        <f t="shared" si="0"/>
        <v>1.5707963267948966</v>
      </c>
      <c r="D56" s="79" t="s">
        <v>34</v>
      </c>
      <c r="E56" s="80">
        <f>$G$16*0.9*$B$11*$D$5*(1/TAN(C57))/$F$16/1000</f>
        <v>57.489553762032394</v>
      </c>
      <c r="F56" s="123">
        <f>E56/$I$47</f>
        <v>0.35910728043242779</v>
      </c>
      <c r="G56" s="90" t="s">
        <v>108</v>
      </c>
      <c r="H56" s="91">
        <f>($A$14*$I$11*(100*$H$11*$B$3)^(1/3))*$B$10*$B$11/1000</f>
        <v>46.690833590177633</v>
      </c>
      <c r="I56" s="81">
        <f>J56+K56</f>
        <v>118.0049185465233</v>
      </c>
      <c r="J56" s="76">
        <f>0.9*$B$11*SIN(C56)*(1/TAN(C56)+1/TAN(C57))*$G$16*$D$5/$F$16/1000</f>
        <v>57.489553762032415</v>
      </c>
      <c r="K56" s="76">
        <f>MAX(K57,K58)*$B$10*$B$11/1000</f>
        <v>60.515364784490885</v>
      </c>
      <c r="O56" s="128">
        <f>0.9*0.5*(L57-1/TAN(C56))</f>
        <v>0.25980762113533162</v>
      </c>
    </row>
    <row r="57" spans="1:15" ht="18.75" x14ac:dyDescent="0.3">
      <c r="A57" s="82" t="s">
        <v>24</v>
      </c>
      <c r="B57" s="71">
        <v>60</v>
      </c>
      <c r="C57" s="71">
        <f t="shared" si="0"/>
        <v>1.0471975511965976</v>
      </c>
      <c r="D57" s="74" t="s">
        <v>33</v>
      </c>
      <c r="E57" s="75">
        <f>$B$7*$B$10*0.9*$B$11*$B$8*$B$5/(L57+TAN(C57))/1000</f>
        <v>394.58282459928489</v>
      </c>
      <c r="F57" s="124">
        <f>E57/$I$48</f>
        <v>0.70148057706539535</v>
      </c>
      <c r="G57" s="92" t="s">
        <v>109</v>
      </c>
      <c r="H57" s="93">
        <f>$B$14*$B$10*$B$11/1000</f>
        <v>42.360755349143624</v>
      </c>
      <c r="I57" s="76">
        <f>0.6*$B$5*$B$10*$B$11*(L57+1/TAN(C56))/(1+L57^2)/1000</f>
        <v>487.13928962874695</v>
      </c>
      <c r="J57" s="76"/>
      <c r="K57" s="76">
        <f>0.15*$L$33*(100*$H$11*$B$3)^(1/3)*N57/$B$4</f>
        <v>5.3504422916863241E-2</v>
      </c>
      <c r="L57">
        <f>1/TAN(C57)</f>
        <v>0.57735026918962595</v>
      </c>
      <c r="M57">
        <v>1</v>
      </c>
      <c r="N57">
        <f>MAX(IF(L57&lt;M57,(2*L57-1)/(2*M57-1),(L57-2)/(M57-2)),0)</f>
        <v>0.15470053837925191</v>
      </c>
      <c r="O57" s="128"/>
    </row>
    <row r="58" spans="1:15" ht="19.5" thickBot="1" x14ac:dyDescent="0.35">
      <c r="A58" s="114"/>
      <c r="B58" s="77"/>
      <c r="C58" s="77"/>
      <c r="D58" s="85" t="s">
        <v>19</v>
      </c>
      <c r="E58" s="89">
        <f>MAX(H56:H57)</f>
        <v>46.690833590177633</v>
      </c>
      <c r="F58" s="125">
        <f>E58/$I$49</f>
        <v>0.77155336923861262</v>
      </c>
      <c r="G58" s="96"/>
      <c r="H58" s="97"/>
      <c r="I58" s="88">
        <f>MAX(J58:K58)*$B$10*$B$11/1000</f>
        <v>60.515364784490885</v>
      </c>
      <c r="J58" s="76">
        <f>0.18*$L$33*(100*$H$11*$B$3)^(1/3)/$B$4</f>
        <v>0.41502963191269004</v>
      </c>
      <c r="K58" s="76">
        <f>0.075*$L$33^1.5*$B$3^0.5/$B$4</f>
        <v>0.53791435363991902</v>
      </c>
      <c r="O58" s="128"/>
    </row>
    <row r="59" spans="1:15" ht="18.75" x14ac:dyDescent="0.3">
      <c r="A59" s="112" t="s">
        <v>23</v>
      </c>
      <c r="B59" s="78">
        <f>B56</f>
        <v>90</v>
      </c>
      <c r="C59" s="78">
        <f t="shared" si="0"/>
        <v>1.5707963267948966</v>
      </c>
      <c r="D59" s="79" t="s">
        <v>34</v>
      </c>
      <c r="E59" s="80">
        <f>$G$16*0.9*$B$11*$D$5*(1/TAN(C60))/$F$16/1000</f>
        <v>50.73590900537512</v>
      </c>
      <c r="F59" s="123">
        <f>E59/$I$47</f>
        <v>0.31692078144499541</v>
      </c>
      <c r="G59" s="90" t="s">
        <v>108</v>
      </c>
      <c r="H59" s="91">
        <f>($A$14*$I$11*(100*$H$11*$B$3)^(1/3))*$B$10*$B$11/1000</f>
        <v>46.690833590177633</v>
      </c>
      <c r="I59" s="81">
        <f>J59+K59</f>
        <v>111.25127378986602</v>
      </c>
      <c r="J59" s="76">
        <f>0.9*$B$11*SIN(C59)*(1/TAN(C59)+1/TAN(C60))*$G$16*$D$5/$F$16/1000</f>
        <v>50.735909005375142</v>
      </c>
      <c r="K59" s="76">
        <f>MAX(K60,K61)*$B$10*$B$11/1000</f>
        <v>60.515364784490885</v>
      </c>
      <c r="O59" s="128">
        <f>0.9*0.5*(L60-1/TAN(C59))</f>
        <v>0.22928645227249297</v>
      </c>
    </row>
    <row r="60" spans="1:15" ht="18.75" x14ac:dyDescent="0.3">
      <c r="A60" s="82" t="s">
        <v>24</v>
      </c>
      <c r="B60" s="71">
        <v>63</v>
      </c>
      <c r="C60" s="71">
        <f t="shared" si="0"/>
        <v>1.0995574287564276</v>
      </c>
      <c r="D60" s="74" t="s">
        <v>33</v>
      </c>
      <c r="E60" s="75">
        <f>$B$7*$B$10*0.9*$B$11*$B$8*$B$5/(L60+TAN(C60))/1000</f>
        <v>368.60836806208545</v>
      </c>
      <c r="F60" s="124">
        <f>E60/$I$48</f>
        <v>0.6553037654437075</v>
      </c>
      <c r="G60" s="92" t="s">
        <v>109</v>
      </c>
      <c r="H60" s="93">
        <f>$B$14*$B$10*$B$11/1000</f>
        <v>42.360755349143624</v>
      </c>
      <c r="I60" s="76">
        <f>0.6*$B$5*$B$10*$B$11*(L60+1/TAN(C59))/(1+L60^2)/1000</f>
        <v>455.07205933590814</v>
      </c>
      <c r="J60" s="76"/>
      <c r="K60" s="76">
        <f>0.15*$L$33*(100*$H$11*$B$3)^(1/3)*N60/$B$4</f>
        <v>6.5889063291262465E-3</v>
      </c>
      <c r="L60">
        <f>1/TAN(C60)</f>
        <v>0.50952544949442891</v>
      </c>
      <c r="M60">
        <v>1</v>
      </c>
      <c r="N60">
        <f>MAX(IF(L60&lt;M60,(2*L60-1)/(2*M60-1),(L60-2)/(M60-2)),0)</f>
        <v>1.9050898988857812E-2</v>
      </c>
      <c r="O60" s="128"/>
    </row>
    <row r="61" spans="1:15" ht="19.5" thickBot="1" x14ac:dyDescent="0.35">
      <c r="A61" s="115"/>
      <c r="B61" s="84"/>
      <c r="C61" s="84"/>
      <c r="D61" s="85" t="s">
        <v>19</v>
      </c>
      <c r="E61" s="86">
        <f>MAX(H59:H60)</f>
        <v>46.690833590177633</v>
      </c>
      <c r="F61" s="125">
        <f>E61/$I$49</f>
        <v>0.77155336923861262</v>
      </c>
      <c r="G61" s="84"/>
      <c r="H61" s="88"/>
      <c r="I61" s="88">
        <f>MAX(J61:K61)*$B$10*$B$11/1000</f>
        <v>60.515364784490885</v>
      </c>
      <c r="J61" s="76">
        <f>0.18*$L$33*(100*$H$11*$B$3)^(1/3)/$B$4</f>
        <v>0.41502963191269004</v>
      </c>
      <c r="K61" s="76">
        <f>0.075*$L$33^1.5*$B$3^0.5/$B$4</f>
        <v>0.53791435363991902</v>
      </c>
    </row>
  </sheetData>
  <mergeCells count="5">
    <mergeCell ref="A2:F2"/>
    <mergeCell ref="C9:F9"/>
    <mergeCell ref="D19:H19"/>
    <mergeCell ref="D20:H20"/>
    <mergeCell ref="D21:H21"/>
  </mergeCells>
  <dataValidations count="2">
    <dataValidation type="list" allowBlank="1" showInputMessage="1" showErrorMessage="1" sqref="D11 F11" xr:uid="{A828A049-21C2-454F-A0E0-4AF8BD24D8A1}">
      <formula1>"6,8,10,12,16,20"</formula1>
    </dataValidation>
    <dataValidation type="list" allowBlank="1" showInputMessage="1" showErrorMessage="1" sqref="F5" xr:uid="{DA8C13E6-D87F-43A7-A378-F7CCCC84225E}">
      <mc:AlternateContent xmlns:x12ac="http://schemas.microsoft.com/office/spreadsheetml/2011/1/ac" xmlns:mc="http://schemas.openxmlformats.org/markup-compatibility/2006">
        <mc:Choice Requires="x12ac">
          <x12ac:list>NO,400 MPa,"0,8·fyd"</x12ac:list>
        </mc:Choice>
        <mc:Fallback>
          <formula1>"NO,400 MPa,0,8·fyd"</formula1>
        </mc:Fallback>
      </mc:AlternateContent>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73F63-250A-4D68-A29B-217E0A7BEF47}">
  <dimension ref="A1:T34"/>
  <sheetViews>
    <sheetView workbookViewId="0">
      <selection activeCell="A20" sqref="A20:D20"/>
    </sheetView>
  </sheetViews>
  <sheetFormatPr baseColWidth="10" defaultColWidth="9.140625" defaultRowHeight="15" x14ac:dyDescent="0.25"/>
  <cols>
    <col min="1" max="1" width="18.7109375" customWidth="1"/>
    <col min="2" max="2" width="6.7109375" customWidth="1"/>
    <col min="3" max="4" width="12.7109375" customWidth="1"/>
    <col min="5" max="7" width="15.7109375" customWidth="1"/>
    <col min="8" max="8" width="12.7109375" customWidth="1"/>
    <col min="257" max="257" width="18.7109375" customWidth="1"/>
    <col min="258" max="258" width="6.7109375" customWidth="1"/>
    <col min="259" max="260" width="12.7109375" customWidth="1"/>
    <col min="261" max="263" width="15.7109375" customWidth="1"/>
    <col min="264" max="264" width="12.7109375" customWidth="1"/>
    <col min="513" max="513" width="18.7109375" customWidth="1"/>
    <col min="514" max="514" width="6.7109375" customWidth="1"/>
    <col min="515" max="516" width="12.7109375" customWidth="1"/>
    <col min="517" max="519" width="15.7109375" customWidth="1"/>
    <col min="520" max="520" width="12.7109375" customWidth="1"/>
    <col min="769" max="769" width="18.7109375" customWidth="1"/>
    <col min="770" max="770" width="6.7109375" customWidth="1"/>
    <col min="771" max="772" width="12.7109375" customWidth="1"/>
    <col min="773" max="775" width="15.7109375" customWidth="1"/>
    <col min="776" max="776" width="12.7109375" customWidth="1"/>
    <col min="1025" max="1025" width="18.7109375" customWidth="1"/>
    <col min="1026" max="1026" width="6.7109375" customWidth="1"/>
    <col min="1027" max="1028" width="12.7109375" customWidth="1"/>
    <col min="1029" max="1031" width="15.7109375" customWidth="1"/>
    <col min="1032" max="1032" width="12.7109375" customWidth="1"/>
    <col min="1281" max="1281" width="18.7109375" customWidth="1"/>
    <col min="1282" max="1282" width="6.7109375" customWidth="1"/>
    <col min="1283" max="1284" width="12.7109375" customWidth="1"/>
    <col min="1285" max="1287" width="15.7109375" customWidth="1"/>
    <col min="1288" max="1288" width="12.7109375" customWidth="1"/>
    <col min="1537" max="1537" width="18.7109375" customWidth="1"/>
    <col min="1538" max="1538" width="6.7109375" customWidth="1"/>
    <col min="1539" max="1540" width="12.7109375" customWidth="1"/>
    <col min="1541" max="1543" width="15.7109375" customWidth="1"/>
    <col min="1544" max="1544" width="12.7109375" customWidth="1"/>
    <col min="1793" max="1793" width="18.7109375" customWidth="1"/>
    <col min="1794" max="1794" width="6.7109375" customWidth="1"/>
    <col min="1795" max="1796" width="12.7109375" customWidth="1"/>
    <col min="1797" max="1799" width="15.7109375" customWidth="1"/>
    <col min="1800" max="1800" width="12.7109375" customWidth="1"/>
    <col min="2049" max="2049" width="18.7109375" customWidth="1"/>
    <col min="2050" max="2050" width="6.7109375" customWidth="1"/>
    <col min="2051" max="2052" width="12.7109375" customWidth="1"/>
    <col min="2053" max="2055" width="15.7109375" customWidth="1"/>
    <col min="2056" max="2056" width="12.7109375" customWidth="1"/>
    <col min="2305" max="2305" width="18.7109375" customWidth="1"/>
    <col min="2306" max="2306" width="6.7109375" customWidth="1"/>
    <col min="2307" max="2308" width="12.7109375" customWidth="1"/>
    <col min="2309" max="2311" width="15.7109375" customWidth="1"/>
    <col min="2312" max="2312" width="12.7109375" customWidth="1"/>
    <col min="2561" max="2561" width="18.7109375" customWidth="1"/>
    <col min="2562" max="2562" width="6.7109375" customWidth="1"/>
    <col min="2563" max="2564" width="12.7109375" customWidth="1"/>
    <col min="2565" max="2567" width="15.7109375" customWidth="1"/>
    <col min="2568" max="2568" width="12.7109375" customWidth="1"/>
    <col min="2817" max="2817" width="18.7109375" customWidth="1"/>
    <col min="2818" max="2818" width="6.7109375" customWidth="1"/>
    <col min="2819" max="2820" width="12.7109375" customWidth="1"/>
    <col min="2821" max="2823" width="15.7109375" customWidth="1"/>
    <col min="2824" max="2824" width="12.7109375" customWidth="1"/>
    <col min="3073" max="3073" width="18.7109375" customWidth="1"/>
    <col min="3074" max="3074" width="6.7109375" customWidth="1"/>
    <col min="3075" max="3076" width="12.7109375" customWidth="1"/>
    <col min="3077" max="3079" width="15.7109375" customWidth="1"/>
    <col min="3080" max="3080" width="12.7109375" customWidth="1"/>
    <col min="3329" max="3329" width="18.7109375" customWidth="1"/>
    <col min="3330" max="3330" width="6.7109375" customWidth="1"/>
    <col min="3331" max="3332" width="12.7109375" customWidth="1"/>
    <col min="3333" max="3335" width="15.7109375" customWidth="1"/>
    <col min="3336" max="3336" width="12.7109375" customWidth="1"/>
    <col min="3585" max="3585" width="18.7109375" customWidth="1"/>
    <col min="3586" max="3586" width="6.7109375" customWidth="1"/>
    <col min="3587" max="3588" width="12.7109375" customWidth="1"/>
    <col min="3589" max="3591" width="15.7109375" customWidth="1"/>
    <col min="3592" max="3592" width="12.7109375" customWidth="1"/>
    <col min="3841" max="3841" width="18.7109375" customWidth="1"/>
    <col min="3842" max="3842" width="6.7109375" customWidth="1"/>
    <col min="3843" max="3844" width="12.7109375" customWidth="1"/>
    <col min="3845" max="3847" width="15.7109375" customWidth="1"/>
    <col min="3848" max="3848" width="12.7109375" customWidth="1"/>
    <col min="4097" max="4097" width="18.7109375" customWidth="1"/>
    <col min="4098" max="4098" width="6.7109375" customWidth="1"/>
    <col min="4099" max="4100" width="12.7109375" customWidth="1"/>
    <col min="4101" max="4103" width="15.7109375" customWidth="1"/>
    <col min="4104" max="4104" width="12.7109375" customWidth="1"/>
    <col min="4353" max="4353" width="18.7109375" customWidth="1"/>
    <col min="4354" max="4354" width="6.7109375" customWidth="1"/>
    <col min="4355" max="4356" width="12.7109375" customWidth="1"/>
    <col min="4357" max="4359" width="15.7109375" customWidth="1"/>
    <col min="4360" max="4360" width="12.7109375" customWidth="1"/>
    <col min="4609" max="4609" width="18.7109375" customWidth="1"/>
    <col min="4610" max="4610" width="6.7109375" customWidth="1"/>
    <col min="4611" max="4612" width="12.7109375" customWidth="1"/>
    <col min="4613" max="4615" width="15.7109375" customWidth="1"/>
    <col min="4616" max="4616" width="12.7109375" customWidth="1"/>
    <col min="4865" max="4865" width="18.7109375" customWidth="1"/>
    <col min="4866" max="4866" width="6.7109375" customWidth="1"/>
    <col min="4867" max="4868" width="12.7109375" customWidth="1"/>
    <col min="4869" max="4871" width="15.7109375" customWidth="1"/>
    <col min="4872" max="4872" width="12.7109375" customWidth="1"/>
    <col min="5121" max="5121" width="18.7109375" customWidth="1"/>
    <col min="5122" max="5122" width="6.7109375" customWidth="1"/>
    <col min="5123" max="5124" width="12.7109375" customWidth="1"/>
    <col min="5125" max="5127" width="15.7109375" customWidth="1"/>
    <col min="5128" max="5128" width="12.7109375" customWidth="1"/>
    <col min="5377" max="5377" width="18.7109375" customWidth="1"/>
    <col min="5378" max="5378" width="6.7109375" customWidth="1"/>
    <col min="5379" max="5380" width="12.7109375" customWidth="1"/>
    <col min="5381" max="5383" width="15.7109375" customWidth="1"/>
    <col min="5384" max="5384" width="12.7109375" customWidth="1"/>
    <col min="5633" max="5633" width="18.7109375" customWidth="1"/>
    <col min="5634" max="5634" width="6.7109375" customWidth="1"/>
    <col min="5635" max="5636" width="12.7109375" customWidth="1"/>
    <col min="5637" max="5639" width="15.7109375" customWidth="1"/>
    <col min="5640" max="5640" width="12.7109375" customWidth="1"/>
    <col min="5889" max="5889" width="18.7109375" customWidth="1"/>
    <col min="5890" max="5890" width="6.7109375" customWidth="1"/>
    <col min="5891" max="5892" width="12.7109375" customWidth="1"/>
    <col min="5893" max="5895" width="15.7109375" customWidth="1"/>
    <col min="5896" max="5896" width="12.7109375" customWidth="1"/>
    <col min="6145" max="6145" width="18.7109375" customWidth="1"/>
    <col min="6146" max="6146" width="6.7109375" customWidth="1"/>
    <col min="6147" max="6148" width="12.7109375" customWidth="1"/>
    <col min="6149" max="6151" width="15.7109375" customWidth="1"/>
    <col min="6152" max="6152" width="12.7109375" customWidth="1"/>
    <col min="6401" max="6401" width="18.7109375" customWidth="1"/>
    <col min="6402" max="6402" width="6.7109375" customWidth="1"/>
    <col min="6403" max="6404" width="12.7109375" customWidth="1"/>
    <col min="6405" max="6407" width="15.7109375" customWidth="1"/>
    <col min="6408" max="6408" width="12.7109375" customWidth="1"/>
    <col min="6657" max="6657" width="18.7109375" customWidth="1"/>
    <col min="6658" max="6658" width="6.7109375" customWidth="1"/>
    <col min="6659" max="6660" width="12.7109375" customWidth="1"/>
    <col min="6661" max="6663" width="15.7109375" customWidth="1"/>
    <col min="6664" max="6664" width="12.7109375" customWidth="1"/>
    <col min="6913" max="6913" width="18.7109375" customWidth="1"/>
    <col min="6914" max="6914" width="6.7109375" customWidth="1"/>
    <col min="6915" max="6916" width="12.7109375" customWidth="1"/>
    <col min="6917" max="6919" width="15.7109375" customWidth="1"/>
    <col min="6920" max="6920" width="12.7109375" customWidth="1"/>
    <col min="7169" max="7169" width="18.7109375" customWidth="1"/>
    <col min="7170" max="7170" width="6.7109375" customWidth="1"/>
    <col min="7171" max="7172" width="12.7109375" customWidth="1"/>
    <col min="7173" max="7175" width="15.7109375" customWidth="1"/>
    <col min="7176" max="7176" width="12.7109375" customWidth="1"/>
    <col min="7425" max="7425" width="18.7109375" customWidth="1"/>
    <col min="7426" max="7426" width="6.7109375" customWidth="1"/>
    <col min="7427" max="7428" width="12.7109375" customWidth="1"/>
    <col min="7429" max="7431" width="15.7109375" customWidth="1"/>
    <col min="7432" max="7432" width="12.7109375" customWidth="1"/>
    <col min="7681" max="7681" width="18.7109375" customWidth="1"/>
    <col min="7682" max="7682" width="6.7109375" customWidth="1"/>
    <col min="7683" max="7684" width="12.7109375" customWidth="1"/>
    <col min="7685" max="7687" width="15.7109375" customWidth="1"/>
    <col min="7688" max="7688" width="12.7109375" customWidth="1"/>
    <col min="7937" max="7937" width="18.7109375" customWidth="1"/>
    <col min="7938" max="7938" width="6.7109375" customWidth="1"/>
    <col min="7939" max="7940" width="12.7109375" customWidth="1"/>
    <col min="7941" max="7943" width="15.7109375" customWidth="1"/>
    <col min="7944" max="7944" width="12.7109375" customWidth="1"/>
    <col min="8193" max="8193" width="18.7109375" customWidth="1"/>
    <col min="8194" max="8194" width="6.7109375" customWidth="1"/>
    <col min="8195" max="8196" width="12.7109375" customWidth="1"/>
    <col min="8197" max="8199" width="15.7109375" customWidth="1"/>
    <col min="8200" max="8200" width="12.7109375" customWidth="1"/>
    <col min="8449" max="8449" width="18.7109375" customWidth="1"/>
    <col min="8450" max="8450" width="6.7109375" customWidth="1"/>
    <col min="8451" max="8452" width="12.7109375" customWidth="1"/>
    <col min="8453" max="8455" width="15.7109375" customWidth="1"/>
    <col min="8456" max="8456" width="12.7109375" customWidth="1"/>
    <col min="8705" max="8705" width="18.7109375" customWidth="1"/>
    <col min="8706" max="8706" width="6.7109375" customWidth="1"/>
    <col min="8707" max="8708" width="12.7109375" customWidth="1"/>
    <col min="8709" max="8711" width="15.7109375" customWidth="1"/>
    <col min="8712" max="8712" width="12.7109375" customWidth="1"/>
    <col min="8961" max="8961" width="18.7109375" customWidth="1"/>
    <col min="8962" max="8962" width="6.7109375" customWidth="1"/>
    <col min="8963" max="8964" width="12.7109375" customWidth="1"/>
    <col min="8965" max="8967" width="15.7109375" customWidth="1"/>
    <col min="8968" max="8968" width="12.7109375" customWidth="1"/>
    <col min="9217" max="9217" width="18.7109375" customWidth="1"/>
    <col min="9218" max="9218" width="6.7109375" customWidth="1"/>
    <col min="9219" max="9220" width="12.7109375" customWidth="1"/>
    <col min="9221" max="9223" width="15.7109375" customWidth="1"/>
    <col min="9224" max="9224" width="12.7109375" customWidth="1"/>
    <col min="9473" max="9473" width="18.7109375" customWidth="1"/>
    <col min="9474" max="9474" width="6.7109375" customWidth="1"/>
    <col min="9475" max="9476" width="12.7109375" customWidth="1"/>
    <col min="9477" max="9479" width="15.7109375" customWidth="1"/>
    <col min="9480" max="9480" width="12.7109375" customWidth="1"/>
    <col min="9729" max="9729" width="18.7109375" customWidth="1"/>
    <col min="9730" max="9730" width="6.7109375" customWidth="1"/>
    <col min="9731" max="9732" width="12.7109375" customWidth="1"/>
    <col min="9733" max="9735" width="15.7109375" customWidth="1"/>
    <col min="9736" max="9736" width="12.7109375" customWidth="1"/>
    <col min="9985" max="9985" width="18.7109375" customWidth="1"/>
    <col min="9986" max="9986" width="6.7109375" customWidth="1"/>
    <col min="9987" max="9988" width="12.7109375" customWidth="1"/>
    <col min="9989" max="9991" width="15.7109375" customWidth="1"/>
    <col min="9992" max="9992" width="12.7109375" customWidth="1"/>
    <col min="10241" max="10241" width="18.7109375" customWidth="1"/>
    <col min="10242" max="10242" width="6.7109375" customWidth="1"/>
    <col min="10243" max="10244" width="12.7109375" customWidth="1"/>
    <col min="10245" max="10247" width="15.7109375" customWidth="1"/>
    <col min="10248" max="10248" width="12.7109375" customWidth="1"/>
    <col min="10497" max="10497" width="18.7109375" customWidth="1"/>
    <col min="10498" max="10498" width="6.7109375" customWidth="1"/>
    <col min="10499" max="10500" width="12.7109375" customWidth="1"/>
    <col min="10501" max="10503" width="15.7109375" customWidth="1"/>
    <col min="10504" max="10504" width="12.7109375" customWidth="1"/>
    <col min="10753" max="10753" width="18.7109375" customWidth="1"/>
    <col min="10754" max="10754" width="6.7109375" customWidth="1"/>
    <col min="10755" max="10756" width="12.7109375" customWidth="1"/>
    <col min="10757" max="10759" width="15.7109375" customWidth="1"/>
    <col min="10760" max="10760" width="12.7109375" customWidth="1"/>
    <col min="11009" max="11009" width="18.7109375" customWidth="1"/>
    <col min="11010" max="11010" width="6.7109375" customWidth="1"/>
    <col min="11011" max="11012" width="12.7109375" customWidth="1"/>
    <col min="11013" max="11015" width="15.7109375" customWidth="1"/>
    <col min="11016" max="11016" width="12.7109375" customWidth="1"/>
    <col min="11265" max="11265" width="18.7109375" customWidth="1"/>
    <col min="11266" max="11266" width="6.7109375" customWidth="1"/>
    <col min="11267" max="11268" width="12.7109375" customWidth="1"/>
    <col min="11269" max="11271" width="15.7109375" customWidth="1"/>
    <col min="11272" max="11272" width="12.7109375" customWidth="1"/>
    <col min="11521" max="11521" width="18.7109375" customWidth="1"/>
    <col min="11522" max="11522" width="6.7109375" customWidth="1"/>
    <col min="11523" max="11524" width="12.7109375" customWidth="1"/>
    <col min="11525" max="11527" width="15.7109375" customWidth="1"/>
    <col min="11528" max="11528" width="12.7109375" customWidth="1"/>
    <col min="11777" max="11777" width="18.7109375" customWidth="1"/>
    <col min="11778" max="11778" width="6.7109375" customWidth="1"/>
    <col min="11779" max="11780" width="12.7109375" customWidth="1"/>
    <col min="11781" max="11783" width="15.7109375" customWidth="1"/>
    <col min="11784" max="11784" width="12.7109375" customWidth="1"/>
    <col min="12033" max="12033" width="18.7109375" customWidth="1"/>
    <col min="12034" max="12034" width="6.7109375" customWidth="1"/>
    <col min="12035" max="12036" width="12.7109375" customWidth="1"/>
    <col min="12037" max="12039" width="15.7109375" customWidth="1"/>
    <col min="12040" max="12040" width="12.7109375" customWidth="1"/>
    <col min="12289" max="12289" width="18.7109375" customWidth="1"/>
    <col min="12290" max="12290" width="6.7109375" customWidth="1"/>
    <col min="12291" max="12292" width="12.7109375" customWidth="1"/>
    <col min="12293" max="12295" width="15.7109375" customWidth="1"/>
    <col min="12296" max="12296" width="12.7109375" customWidth="1"/>
    <col min="12545" max="12545" width="18.7109375" customWidth="1"/>
    <col min="12546" max="12546" width="6.7109375" customWidth="1"/>
    <col min="12547" max="12548" width="12.7109375" customWidth="1"/>
    <col min="12549" max="12551" width="15.7109375" customWidth="1"/>
    <col min="12552" max="12552" width="12.7109375" customWidth="1"/>
    <col min="12801" max="12801" width="18.7109375" customWidth="1"/>
    <col min="12802" max="12802" width="6.7109375" customWidth="1"/>
    <col min="12803" max="12804" width="12.7109375" customWidth="1"/>
    <col min="12805" max="12807" width="15.7109375" customWidth="1"/>
    <col min="12808" max="12808" width="12.7109375" customWidth="1"/>
    <col min="13057" max="13057" width="18.7109375" customWidth="1"/>
    <col min="13058" max="13058" width="6.7109375" customWidth="1"/>
    <col min="13059" max="13060" width="12.7109375" customWidth="1"/>
    <col min="13061" max="13063" width="15.7109375" customWidth="1"/>
    <col min="13064" max="13064" width="12.7109375" customWidth="1"/>
    <col min="13313" max="13313" width="18.7109375" customWidth="1"/>
    <col min="13314" max="13314" width="6.7109375" customWidth="1"/>
    <col min="13315" max="13316" width="12.7109375" customWidth="1"/>
    <col min="13317" max="13319" width="15.7109375" customWidth="1"/>
    <col min="13320" max="13320" width="12.7109375" customWidth="1"/>
    <col min="13569" max="13569" width="18.7109375" customWidth="1"/>
    <col min="13570" max="13570" width="6.7109375" customWidth="1"/>
    <col min="13571" max="13572" width="12.7109375" customWidth="1"/>
    <col min="13573" max="13575" width="15.7109375" customWidth="1"/>
    <col min="13576" max="13576" width="12.7109375" customWidth="1"/>
    <col min="13825" max="13825" width="18.7109375" customWidth="1"/>
    <col min="13826" max="13826" width="6.7109375" customWidth="1"/>
    <col min="13827" max="13828" width="12.7109375" customWidth="1"/>
    <col min="13829" max="13831" width="15.7109375" customWidth="1"/>
    <col min="13832" max="13832" width="12.7109375" customWidth="1"/>
    <col min="14081" max="14081" width="18.7109375" customWidth="1"/>
    <col min="14082" max="14082" width="6.7109375" customWidth="1"/>
    <col min="14083" max="14084" width="12.7109375" customWidth="1"/>
    <col min="14085" max="14087" width="15.7109375" customWidth="1"/>
    <col min="14088" max="14088" width="12.7109375" customWidth="1"/>
    <col min="14337" max="14337" width="18.7109375" customWidth="1"/>
    <col min="14338" max="14338" width="6.7109375" customWidth="1"/>
    <col min="14339" max="14340" width="12.7109375" customWidth="1"/>
    <col min="14341" max="14343" width="15.7109375" customWidth="1"/>
    <col min="14344" max="14344" width="12.7109375" customWidth="1"/>
    <col min="14593" max="14593" width="18.7109375" customWidth="1"/>
    <col min="14594" max="14594" width="6.7109375" customWidth="1"/>
    <col min="14595" max="14596" width="12.7109375" customWidth="1"/>
    <col min="14597" max="14599" width="15.7109375" customWidth="1"/>
    <col min="14600" max="14600" width="12.7109375" customWidth="1"/>
    <col min="14849" max="14849" width="18.7109375" customWidth="1"/>
    <col min="14850" max="14850" width="6.7109375" customWidth="1"/>
    <col min="14851" max="14852" width="12.7109375" customWidth="1"/>
    <col min="14853" max="14855" width="15.7109375" customWidth="1"/>
    <col min="14856" max="14856" width="12.7109375" customWidth="1"/>
    <col min="15105" max="15105" width="18.7109375" customWidth="1"/>
    <col min="15106" max="15106" width="6.7109375" customWidth="1"/>
    <col min="15107" max="15108" width="12.7109375" customWidth="1"/>
    <col min="15109" max="15111" width="15.7109375" customWidth="1"/>
    <col min="15112" max="15112" width="12.7109375" customWidth="1"/>
    <col min="15361" max="15361" width="18.7109375" customWidth="1"/>
    <col min="15362" max="15362" width="6.7109375" customWidth="1"/>
    <col min="15363" max="15364" width="12.7109375" customWidth="1"/>
    <col min="15365" max="15367" width="15.7109375" customWidth="1"/>
    <col min="15368" max="15368" width="12.7109375" customWidth="1"/>
    <col min="15617" max="15617" width="18.7109375" customWidth="1"/>
    <col min="15618" max="15618" width="6.7109375" customWidth="1"/>
    <col min="15619" max="15620" width="12.7109375" customWidth="1"/>
    <col min="15621" max="15623" width="15.7109375" customWidth="1"/>
    <col min="15624" max="15624" width="12.7109375" customWidth="1"/>
    <col min="15873" max="15873" width="18.7109375" customWidth="1"/>
    <col min="15874" max="15874" width="6.7109375" customWidth="1"/>
    <col min="15875" max="15876" width="12.7109375" customWidth="1"/>
    <col min="15877" max="15879" width="15.7109375" customWidth="1"/>
    <col min="15880" max="15880" width="12.7109375" customWidth="1"/>
    <col min="16129" max="16129" width="18.7109375" customWidth="1"/>
    <col min="16130" max="16130" width="6.7109375" customWidth="1"/>
    <col min="16131" max="16132" width="12.7109375" customWidth="1"/>
    <col min="16133" max="16135" width="15.7109375" customWidth="1"/>
    <col min="16136" max="16136" width="12.7109375" customWidth="1"/>
  </cols>
  <sheetData>
    <row r="1" spans="1:20" ht="75" customHeight="1" thickBot="1" x14ac:dyDescent="0.3">
      <c r="E1" s="206" t="s">
        <v>39</v>
      </c>
      <c r="F1" s="206"/>
      <c r="G1" s="206" t="s">
        <v>40</v>
      </c>
      <c r="H1" s="206"/>
      <c r="I1" s="3"/>
      <c r="J1" s="3"/>
      <c r="K1" s="3"/>
    </row>
    <row r="2" spans="1:20" ht="19.5" thickTop="1" thickBot="1" x14ac:dyDescent="0.3">
      <c r="A2" s="207" t="s">
        <v>41</v>
      </c>
      <c r="B2" s="208"/>
      <c r="C2" s="208"/>
      <c r="D2" s="208"/>
      <c r="E2" s="208"/>
      <c r="F2" s="208"/>
      <c r="G2" s="208"/>
      <c r="H2" s="209"/>
    </row>
    <row r="3" spans="1:20" ht="24.95" customHeight="1" thickTop="1" thickBot="1" x14ac:dyDescent="0.3">
      <c r="A3" s="210" t="s">
        <v>42</v>
      </c>
      <c r="B3" s="211"/>
      <c r="C3" s="211"/>
      <c r="D3" s="211"/>
      <c r="E3" s="211"/>
      <c r="F3" s="211"/>
      <c r="G3" s="211"/>
      <c r="H3" s="212"/>
    </row>
    <row r="4" spans="1:20" x14ac:dyDescent="0.25">
      <c r="A4" s="213" t="s">
        <v>7</v>
      </c>
      <c r="B4" s="214"/>
      <c r="C4" s="214" t="s">
        <v>43</v>
      </c>
      <c r="D4" s="214"/>
      <c r="E4" s="215" t="s">
        <v>44</v>
      </c>
      <c r="F4" s="216"/>
      <c r="G4" s="216"/>
      <c r="H4" s="217"/>
    </row>
    <row r="5" spans="1:20" x14ac:dyDescent="0.25">
      <c r="A5" s="4" t="s">
        <v>8</v>
      </c>
      <c r="B5" s="5">
        <f>CE!D12</f>
        <v>200</v>
      </c>
      <c r="C5" s="6" t="s">
        <v>12</v>
      </c>
      <c r="D5" s="7" t="s">
        <v>45</v>
      </c>
      <c r="E5" s="218" t="s">
        <v>46</v>
      </c>
      <c r="F5" s="218"/>
      <c r="G5" s="218"/>
      <c r="H5" s="8">
        <v>698</v>
      </c>
      <c r="Q5" t="s">
        <v>36</v>
      </c>
      <c r="R5" t="s">
        <v>37</v>
      </c>
      <c r="S5" t="s">
        <v>38</v>
      </c>
      <c r="T5" t="s">
        <v>35</v>
      </c>
    </row>
    <row r="6" spans="1:20" x14ac:dyDescent="0.25">
      <c r="A6" s="4" t="s">
        <v>47</v>
      </c>
      <c r="B6" s="5">
        <v>300</v>
      </c>
      <c r="C6" s="5">
        <f>CE!C11</f>
        <v>4</v>
      </c>
      <c r="D6" s="5">
        <f>CE!D11</f>
        <v>16</v>
      </c>
      <c r="E6" s="218" t="s">
        <v>48</v>
      </c>
      <c r="F6" s="218"/>
      <c r="G6" s="218"/>
      <c r="H6" s="9">
        <v>375</v>
      </c>
      <c r="P6" s="1" t="s">
        <v>23</v>
      </c>
      <c r="Q6" s="2">
        <f>CE!E14</f>
        <v>90</v>
      </c>
      <c r="R6">
        <f>Q6*PI()/180</f>
        <v>1.5707963267948966</v>
      </c>
      <c r="S6">
        <f>TAN(R6)</f>
        <v>1.6324552277619072E+16</v>
      </c>
      <c r="T6">
        <f>1/TAN(R6)</f>
        <v>6.1257422745431001E-17</v>
      </c>
    </row>
    <row r="7" spans="1:20" ht="15.75" x14ac:dyDescent="0.25">
      <c r="A7" s="4" t="s">
        <v>49</v>
      </c>
      <c r="B7" s="10">
        <v>60</v>
      </c>
      <c r="C7" s="5">
        <f>CE!E11</f>
        <v>0</v>
      </c>
      <c r="D7" s="5">
        <f>CE!F11</f>
        <v>20</v>
      </c>
      <c r="E7" s="218" t="s">
        <v>6</v>
      </c>
      <c r="F7" s="218"/>
      <c r="G7" s="218"/>
      <c r="H7" s="219"/>
      <c r="P7" s="1" t="s">
        <v>24</v>
      </c>
      <c r="Q7" s="2">
        <f>CE!I4</f>
        <v>0</v>
      </c>
      <c r="R7">
        <f>Q7*PI()/180</f>
        <v>0</v>
      </c>
      <c r="S7">
        <f>TAN(R7)</f>
        <v>0</v>
      </c>
      <c r="T7" t="e">
        <f>1/TAN(R7)</f>
        <v>#DIV/0!</v>
      </c>
    </row>
    <row r="8" spans="1:20" ht="15.75" x14ac:dyDescent="0.25">
      <c r="A8" s="4" t="s">
        <v>9</v>
      </c>
      <c r="B8" s="11">
        <f>CE!B11</f>
        <v>250</v>
      </c>
      <c r="C8" s="5"/>
      <c r="D8" s="5"/>
      <c r="E8" s="12"/>
      <c r="F8" s="12" t="s">
        <v>50</v>
      </c>
      <c r="G8" s="7" t="s">
        <v>51</v>
      </c>
      <c r="H8" s="13" t="s">
        <v>52</v>
      </c>
      <c r="P8" s="1" t="s">
        <v>94</v>
      </c>
    </row>
    <row r="9" spans="1:20" x14ac:dyDescent="0.25">
      <c r="A9" s="14" t="s">
        <v>53</v>
      </c>
      <c r="B9" s="10">
        <v>25</v>
      </c>
      <c r="C9" s="11" t="s">
        <v>54</v>
      </c>
      <c r="D9" s="5"/>
      <c r="E9" s="6" t="s">
        <v>55</v>
      </c>
      <c r="F9" s="15">
        <v>25</v>
      </c>
      <c r="G9" s="16">
        <f>CE!B4</f>
        <v>1.5</v>
      </c>
      <c r="H9" s="17">
        <f>CE!B5</f>
        <v>16.666666666666668</v>
      </c>
    </row>
    <row r="10" spans="1:20" ht="15.75" x14ac:dyDescent="0.25">
      <c r="A10" s="4" t="s">
        <v>56</v>
      </c>
      <c r="B10" s="5">
        <v>800</v>
      </c>
      <c r="C10" s="11" t="s">
        <v>57</v>
      </c>
      <c r="D10" s="11">
        <f>SUM(D9+((D6*0.5)^2)*3.14*C6+((D7*0.5)^2)*3.14*C7+((D8*0.5)^2)*3.14*C8)</f>
        <v>803.84</v>
      </c>
      <c r="E10" s="18"/>
      <c r="F10" s="18"/>
      <c r="G10" s="12" t="s">
        <v>58</v>
      </c>
      <c r="H10" s="17">
        <f>0.3*F9^(2/3)</f>
        <v>2.5649639200150443</v>
      </c>
    </row>
    <row r="11" spans="1:20" ht="15.75" x14ac:dyDescent="0.25">
      <c r="A11" s="4" t="s">
        <v>59</v>
      </c>
      <c r="B11" s="11">
        <f>MIN(B5,(B10+2*B8))</f>
        <v>200</v>
      </c>
      <c r="C11" s="19" t="s">
        <v>60</v>
      </c>
      <c r="D11" s="20">
        <f>MIN(D10/(B11*B8),0.02)</f>
        <v>1.6076800000000002E-2</v>
      </c>
      <c r="E11" s="6" t="s">
        <v>61</v>
      </c>
      <c r="F11" s="21">
        <v>500</v>
      </c>
      <c r="G11" s="16">
        <v>1.1499999999999999</v>
      </c>
      <c r="H11" s="17">
        <f>CE!D5</f>
        <v>434.78260869565219</v>
      </c>
    </row>
    <row r="12" spans="1:20" ht="16.5" thickBot="1" x14ac:dyDescent="0.3">
      <c r="A12" s="22"/>
      <c r="B12" s="23"/>
      <c r="C12" s="24" t="s">
        <v>62</v>
      </c>
      <c r="D12" s="25">
        <f>MIN(2,1+(200/B8)^0.5)</f>
        <v>1.8944271909999157</v>
      </c>
      <c r="E12" s="26"/>
      <c r="F12" s="27"/>
      <c r="G12" s="28" t="s">
        <v>63</v>
      </c>
      <c r="H12" s="29">
        <f>MIN(H11,400)</f>
        <v>400</v>
      </c>
    </row>
    <row r="13" spans="1:20" ht="15.95" customHeight="1" thickTop="1" thickBot="1" x14ac:dyDescent="0.3">
      <c r="A13" s="30"/>
      <c r="B13" s="31"/>
      <c r="C13" s="32"/>
      <c r="D13" s="33"/>
      <c r="E13" s="33"/>
      <c r="F13" s="33"/>
      <c r="G13" s="33"/>
      <c r="H13" s="34"/>
    </row>
    <row r="14" spans="1:20" ht="24.95" customHeight="1" thickTop="1" thickBot="1" x14ac:dyDescent="0.3">
      <c r="A14" s="203" t="s">
        <v>64</v>
      </c>
      <c r="B14" s="204"/>
      <c r="C14" s="204"/>
      <c r="D14" s="204"/>
      <c r="E14" s="204"/>
      <c r="F14" s="204"/>
      <c r="G14" s="204"/>
      <c r="H14" s="205"/>
    </row>
    <row r="15" spans="1:20" ht="15.95" customHeight="1" thickBot="1" x14ac:dyDescent="0.3">
      <c r="A15" s="35" t="s">
        <v>65</v>
      </c>
      <c r="B15" s="36" t="e">
        <f>0.6*H9*B11*B8*(T7+T6)/(1+T7^2)/1000</f>
        <v>#DIV/0!</v>
      </c>
      <c r="C15" s="220" t="e">
        <f>IF(B15&gt;=H5,"SE CUMPLE LA COMPROBACIÓN DE AGOTAMIENTO POR COMPRESIÓN OBLICUA EN EL ALMA","LA SECCIÓN FALLA POR COMPRESIÓN OBLICUA EN EL ALMA")</f>
        <v>#DIV/0!</v>
      </c>
      <c r="D15" s="221"/>
      <c r="E15" s="221"/>
      <c r="F15" s="221"/>
      <c r="G15" s="221"/>
      <c r="H15" s="222"/>
    </row>
    <row r="16" spans="1:20" ht="15.95" customHeight="1" thickTop="1" thickBot="1" x14ac:dyDescent="0.3">
      <c r="A16" s="37"/>
      <c r="B16" s="31"/>
      <c r="C16" s="38"/>
      <c r="D16" s="38"/>
      <c r="E16" s="38"/>
      <c r="F16" s="38"/>
      <c r="G16" s="38"/>
      <c r="H16" s="38"/>
    </row>
    <row r="17" spans="1:13" ht="24.95" customHeight="1" thickTop="1" thickBot="1" x14ac:dyDescent="0.3">
      <c r="A17" s="203" t="s">
        <v>66</v>
      </c>
      <c r="B17" s="204"/>
      <c r="C17" s="204"/>
      <c r="D17" s="204"/>
      <c r="E17" s="204"/>
      <c r="F17" s="204"/>
      <c r="G17" s="204"/>
      <c r="H17" s="205"/>
    </row>
    <row r="18" spans="1:13" x14ac:dyDescent="0.25">
      <c r="A18" s="189" t="s">
        <v>67</v>
      </c>
      <c r="B18" s="190"/>
      <c r="C18" s="190"/>
      <c r="D18" s="191"/>
      <c r="E18" s="192" t="s">
        <v>68</v>
      </c>
      <c r="F18" s="193"/>
      <c r="G18" s="193"/>
      <c r="H18" s="194"/>
      <c r="K18" t="s">
        <v>92</v>
      </c>
      <c r="L18" s="41" t="e">
        <f>L21*((0.15/G9)*D12*(100*D11*F9)^0.33)*B11*B8/1000</f>
        <v>#DIV/0!</v>
      </c>
    </row>
    <row r="19" spans="1:13" ht="15.75" x14ac:dyDescent="0.25">
      <c r="A19" s="39" t="s">
        <v>69</v>
      </c>
      <c r="B19" s="195">
        <f>MAX(((0.15/G9)*D12*(100*D11*F9)^0.33)*B11*B8/1000,((0.075/G9)*(D12^1.5)*(F9^0.5))*B11*B8/1000)</f>
        <v>32.593191691765931</v>
      </c>
      <c r="C19" s="195"/>
      <c r="D19" s="196"/>
      <c r="E19" s="40" t="s">
        <v>70</v>
      </c>
      <c r="F19" s="41" t="e">
        <f>MAX(L18,B19)</f>
        <v>#DIV/0!</v>
      </c>
      <c r="G19" s="11"/>
      <c r="H19" s="13"/>
      <c r="K19" s="1" t="s">
        <v>93</v>
      </c>
      <c r="L19" t="e">
        <f>(2*T7-1)</f>
        <v>#DIV/0!</v>
      </c>
      <c r="M19" t="s">
        <v>96</v>
      </c>
    </row>
    <row r="20" spans="1:13" x14ac:dyDescent="0.25">
      <c r="A20" s="197" t="str">
        <f>IF(B19&gt;=H6,"NO ES NECESARIA ARMADURA DE CORTANTE","ES NECESARIA ARMADURA DE CORTANTE")</f>
        <v>ES NECESARIA ARMADURA DE CORTANTE</v>
      </c>
      <c r="B20" s="198"/>
      <c r="C20" s="198"/>
      <c r="D20" s="199"/>
      <c r="E20" s="172" t="s">
        <v>71</v>
      </c>
      <c r="F20" s="173"/>
      <c r="G20" s="173"/>
      <c r="H20" s="174"/>
      <c r="L20" t="e">
        <f>(T7-2)/(-1)</f>
        <v>#DIV/0!</v>
      </c>
      <c r="M20" t="s">
        <v>95</v>
      </c>
    </row>
    <row r="21" spans="1:13" ht="15.75" x14ac:dyDescent="0.25">
      <c r="A21" s="42"/>
      <c r="B21" s="43"/>
      <c r="C21" s="44"/>
      <c r="D21" s="45"/>
      <c r="E21" s="46" t="s">
        <v>72</v>
      </c>
      <c r="F21" s="11">
        <f>MIN(500,B8)</f>
        <v>250</v>
      </c>
      <c r="G21" s="11" t="s">
        <v>73</v>
      </c>
      <c r="H21" s="47">
        <f>MAX(2,1+CEILING((B5-2*B9)/F21,1))</f>
        <v>2</v>
      </c>
      <c r="L21" t="e">
        <f>IF(Q7&gt;=45,L20,L19)</f>
        <v>#DIV/0!</v>
      </c>
      <c r="M21" t="s">
        <v>97</v>
      </c>
    </row>
    <row r="22" spans="1:13" ht="15.75" x14ac:dyDescent="0.25">
      <c r="A22" s="175" t="s">
        <v>74</v>
      </c>
      <c r="B22" s="176"/>
      <c r="C22" s="176"/>
      <c r="D22" s="177"/>
      <c r="E22" s="48" t="s">
        <v>75</v>
      </c>
      <c r="F22" s="49" t="e">
        <f>MIN(FLOOR(H21*PI()*(H22*0.5)^2/F23,50),IF((H6/B15)&lt;=0.2,MIN(FLOOR(0.75*B8,50),600),(IF((H6/B15)&lt;=0.66,MIN(FLOOR(0.6*B8,50),450),MIN(FLOOR(0.3*B8,50),300)))))</f>
        <v>#DIV/0!</v>
      </c>
      <c r="G22" s="7" t="s">
        <v>45</v>
      </c>
      <c r="H22" s="50">
        <v>6</v>
      </c>
    </row>
    <row r="23" spans="1:13" ht="15.75" x14ac:dyDescent="0.25">
      <c r="A23" s="200" t="s">
        <v>76</v>
      </c>
      <c r="B23" s="201"/>
      <c r="C23" s="201"/>
      <c r="D23" s="202"/>
      <c r="E23" s="40" t="s">
        <v>77</v>
      </c>
      <c r="F23" s="51">
        <f>(H10*B11)/(H12*7.5)</f>
        <v>0.17099759466766962</v>
      </c>
      <c r="G23" s="40" t="s">
        <v>78</v>
      </c>
      <c r="H23" s="52" t="e">
        <f>0.9*B8*H12*H21*PI()*(H22*0.5)^2/(F22*1000)</f>
        <v>#DIV/0!</v>
      </c>
    </row>
    <row r="24" spans="1:13" x14ac:dyDescent="0.25">
      <c r="A24" s="175" t="s">
        <v>79</v>
      </c>
      <c r="B24" s="176"/>
      <c r="C24" s="176"/>
      <c r="D24" s="177"/>
      <c r="E24" s="178" t="s">
        <v>80</v>
      </c>
      <c r="F24" s="179"/>
      <c r="G24" s="180"/>
      <c r="H24" s="184" t="e">
        <f>F19+H23</f>
        <v>#DIV/0!</v>
      </c>
    </row>
    <row r="25" spans="1:13" x14ac:dyDescent="0.25">
      <c r="A25" s="175" t="s">
        <v>81</v>
      </c>
      <c r="B25" s="176"/>
      <c r="C25" s="176"/>
      <c r="D25" s="177"/>
      <c r="E25" s="181"/>
      <c r="F25" s="182"/>
      <c r="G25" s="183"/>
      <c r="H25" s="185"/>
    </row>
    <row r="26" spans="1:13" ht="19.5" x14ac:dyDescent="0.25">
      <c r="A26" s="169" t="s">
        <v>82</v>
      </c>
      <c r="B26" s="170"/>
      <c r="C26" s="170"/>
      <c r="D26" s="171"/>
      <c r="E26" s="186" t="e">
        <f>IF(H24&gt;=H6,"LA ARMADURA MÍNIMA ES SUFICIENTE","ES NECESARIA ARMADURA DE REFUERZO")</f>
        <v>#DIV/0!</v>
      </c>
      <c r="F26" s="187"/>
      <c r="G26" s="187"/>
      <c r="H26" s="188"/>
    </row>
    <row r="27" spans="1:13" ht="15.75" x14ac:dyDescent="0.25">
      <c r="A27" s="169" t="s">
        <v>83</v>
      </c>
      <c r="B27" s="170"/>
      <c r="C27" s="170"/>
      <c r="D27" s="171"/>
      <c r="E27" s="172" t="s">
        <v>84</v>
      </c>
      <c r="F27" s="173"/>
      <c r="G27" s="173"/>
      <c r="H27" s="174"/>
    </row>
    <row r="28" spans="1:13" ht="19.5" x14ac:dyDescent="0.25">
      <c r="A28" s="169" t="s">
        <v>85</v>
      </c>
      <c r="B28" s="170"/>
      <c r="C28" s="170"/>
      <c r="D28" s="171"/>
      <c r="E28" s="46" t="s">
        <v>72</v>
      </c>
      <c r="F28" s="49">
        <f>IF(H28=1,B5-2*B9,B5-2*B9/(H28-1))</f>
        <v>175</v>
      </c>
      <c r="G28" s="11" t="s">
        <v>73</v>
      </c>
      <c r="H28" s="8">
        <f>CE!D17</f>
        <v>3</v>
      </c>
    </row>
    <row r="29" spans="1:13" ht="19.5" x14ac:dyDescent="0.25">
      <c r="A29" s="175" t="s">
        <v>86</v>
      </c>
      <c r="B29" s="176"/>
      <c r="C29" s="176"/>
      <c r="D29" s="177"/>
      <c r="E29" s="12" t="s">
        <v>87</v>
      </c>
      <c r="F29" s="53">
        <f>CE!F17</f>
        <v>100</v>
      </c>
      <c r="G29" s="7" t="s">
        <v>45</v>
      </c>
      <c r="H29" s="8">
        <f>CE!E17</f>
        <v>8</v>
      </c>
    </row>
    <row r="30" spans="1:13" ht="19.5" x14ac:dyDescent="0.25">
      <c r="A30" s="175" t="s">
        <v>88</v>
      </c>
      <c r="B30" s="176"/>
      <c r="C30" s="176"/>
      <c r="D30" s="177"/>
      <c r="E30" s="40" t="s">
        <v>89</v>
      </c>
      <c r="F30" s="51">
        <f>H28*PI()*(H29*0.5)^2/F29</f>
        <v>1.5079644737231006</v>
      </c>
      <c r="G30" s="40" t="s">
        <v>78</v>
      </c>
      <c r="H30" s="17" t="e">
        <f>0.9*B8*F30*H12/1000*(SIN(R6)*(T6+T7))</f>
        <v>#DIV/0!</v>
      </c>
    </row>
    <row r="31" spans="1:13" ht="19.5" x14ac:dyDescent="0.25">
      <c r="A31" s="175" t="s">
        <v>90</v>
      </c>
      <c r="B31" s="176"/>
      <c r="C31" s="176"/>
      <c r="D31" s="177"/>
      <c r="E31" s="178" t="e">
        <f>IF(OR(F29&gt;F22,F30&lt;F23),"NO SE CUMPLE ALGÚN CRITERIO DE ARMADO MÍNIMO","ESFUERZO CORTANTE DE AGOTAMIENTO POR TRACCIÓN EN EL ALMA CON ARMADURA DE REFUERZO Vu2 (KN)")</f>
        <v>#DIV/0!</v>
      </c>
      <c r="F31" s="179"/>
      <c r="G31" s="180"/>
      <c r="H31" s="184" t="e">
        <f>F19+H30</f>
        <v>#DIV/0!</v>
      </c>
    </row>
    <row r="32" spans="1:13" x14ac:dyDescent="0.25">
      <c r="A32" s="175" t="s">
        <v>91</v>
      </c>
      <c r="B32" s="176"/>
      <c r="C32" s="176"/>
      <c r="D32" s="177"/>
      <c r="E32" s="181"/>
      <c r="F32" s="182"/>
      <c r="G32" s="183"/>
      <c r="H32" s="185"/>
    </row>
    <row r="33" spans="1:9" ht="15.95" customHeight="1" thickBot="1" x14ac:dyDescent="0.3">
      <c r="A33" s="163"/>
      <c r="B33" s="164"/>
      <c r="C33" s="164"/>
      <c r="D33" s="165"/>
      <c r="E33" s="166" t="e">
        <f>IF(H31&gt;=H6,"LA ARMADURA DE REFUERZO ES SUFICIENTE","FALTA ARMADURA DE REFUERZO")</f>
        <v>#DIV/0!</v>
      </c>
      <c r="F33" s="167"/>
      <c r="G33" s="167"/>
      <c r="H33" s="168"/>
      <c r="I33" s="54"/>
    </row>
    <row r="34" spans="1:9" ht="15.75" thickTop="1" x14ac:dyDescent="0.25">
      <c r="G34" s="55"/>
      <c r="H34" s="56"/>
    </row>
  </sheetData>
  <mergeCells count="37">
    <mergeCell ref="A17:H17"/>
    <mergeCell ref="E1:F1"/>
    <mergeCell ref="G1:H1"/>
    <mergeCell ref="A2:H2"/>
    <mergeCell ref="A3:H3"/>
    <mergeCell ref="A4:B4"/>
    <mergeCell ref="C4:D4"/>
    <mergeCell ref="E4:H4"/>
    <mergeCell ref="E5:G5"/>
    <mergeCell ref="E6:G6"/>
    <mergeCell ref="E7:H7"/>
    <mergeCell ref="A14:H14"/>
    <mergeCell ref="C15:H15"/>
    <mergeCell ref="A26:D26"/>
    <mergeCell ref="E26:H26"/>
    <mergeCell ref="A18:D18"/>
    <mergeCell ref="E18:H18"/>
    <mergeCell ref="B19:D19"/>
    <mergeCell ref="A20:D20"/>
    <mergeCell ref="E20:H20"/>
    <mergeCell ref="A22:D22"/>
    <mergeCell ref="A23:D23"/>
    <mergeCell ref="A24:D24"/>
    <mergeCell ref="E24:G25"/>
    <mergeCell ref="H24:H25"/>
    <mergeCell ref="A25:D25"/>
    <mergeCell ref="A33:D33"/>
    <mergeCell ref="E33:H33"/>
    <mergeCell ref="A27:D27"/>
    <mergeCell ref="E27:H27"/>
    <mergeCell ref="A28:D28"/>
    <mergeCell ref="A29:D29"/>
    <mergeCell ref="A30:D30"/>
    <mergeCell ref="A31:D31"/>
    <mergeCell ref="E31:G32"/>
    <mergeCell ref="H31:H32"/>
    <mergeCell ref="A32:D32"/>
  </mergeCells>
  <conditionalFormatting sqref="A20">
    <cfRule type="expression" dxfId="12" priority="5" stopIfTrue="1">
      <formula>B19&gt;=H6</formula>
    </cfRule>
    <cfRule type="expression" dxfId="11" priority="6" stopIfTrue="1">
      <formula>B19&lt;H6</formula>
    </cfRule>
  </conditionalFormatting>
  <conditionalFormatting sqref="B15">
    <cfRule type="expression" dxfId="10" priority="1" stopIfTrue="1">
      <formula>B15&gt;=H5</formula>
    </cfRule>
    <cfRule type="expression" dxfId="9" priority="2" stopIfTrue="1">
      <formula>B15&lt;H5</formula>
    </cfRule>
  </conditionalFormatting>
  <conditionalFormatting sqref="B19">
    <cfRule type="expression" dxfId="8" priority="3" stopIfTrue="1">
      <formula>B19&gt;=H6</formula>
    </cfRule>
    <cfRule type="expression" dxfId="7" priority="4" stopIfTrue="1">
      <formula>B19&lt;H6</formula>
    </cfRule>
  </conditionalFormatting>
  <conditionalFormatting sqref="C15">
    <cfRule type="expression" dxfId="6" priority="11" stopIfTrue="1">
      <formula>$B$15&gt;=$H$5</formula>
    </cfRule>
    <cfRule type="expression" dxfId="5" priority="12" stopIfTrue="1">
      <formula>$B$15&lt;$H$5</formula>
    </cfRule>
  </conditionalFormatting>
  <conditionalFormatting sqref="E31">
    <cfRule type="cellIs" dxfId="4" priority="13" stopIfTrue="1" operator="equal">
      <formula>"NO SE CUMPLE ALGÚN CRITERIO DE ARMADO MÍNIMO"</formula>
    </cfRule>
  </conditionalFormatting>
  <conditionalFormatting sqref="E26:H26">
    <cfRule type="expression" dxfId="3" priority="9" stopIfTrue="1">
      <formula>H24&gt;=H6</formula>
    </cfRule>
    <cfRule type="expression" dxfId="2" priority="10" stopIfTrue="1">
      <formula>H24&lt;H6</formula>
    </cfRule>
  </conditionalFormatting>
  <conditionalFormatting sqref="E33:H33">
    <cfRule type="expression" dxfId="1" priority="7" stopIfTrue="1">
      <formula>H31&gt;=H6</formula>
    </cfRule>
    <cfRule type="expression" dxfId="0" priority="8" stopIfTrue="1">
      <formula>H31&lt;H6</formula>
    </cfRule>
  </conditionalFormatting>
  <dataValidations disablePrompts="1" count="15">
    <dataValidation type="list" operator="equal" allowBlank="1" showErrorMessage="1" sqref="B7 IX7 ST7 ACP7 AML7 AWH7 BGD7 BPZ7 BZV7 CJR7 CTN7 DDJ7 DNF7 DXB7 EGX7 EQT7 FAP7 FKL7 FUH7 GED7 GNZ7 GXV7 HHR7 HRN7 IBJ7 ILF7 IVB7 JEX7 JOT7 JYP7 KIL7 KSH7 LCD7 LLZ7 LVV7 MFR7 MPN7 MZJ7 NJF7 NTB7 OCX7 OMT7 OWP7 PGL7 PQH7 QAD7 QJZ7 QTV7 RDR7 RNN7 RXJ7 SHF7 SRB7 TAX7 TKT7 TUP7 UEL7 UOH7 UYD7 VHZ7 VRV7 WBR7 WLN7 WVJ7 B65543 IX65543 ST65543 ACP65543 AML65543 AWH65543 BGD65543 BPZ65543 BZV65543 CJR65543 CTN65543 DDJ65543 DNF65543 DXB65543 EGX65543 EQT65543 FAP65543 FKL65543 FUH65543 GED65543 GNZ65543 GXV65543 HHR65543 HRN65543 IBJ65543 ILF65543 IVB65543 JEX65543 JOT65543 JYP65543 KIL65543 KSH65543 LCD65543 LLZ65543 LVV65543 MFR65543 MPN65543 MZJ65543 NJF65543 NTB65543 OCX65543 OMT65543 OWP65543 PGL65543 PQH65543 QAD65543 QJZ65543 QTV65543 RDR65543 RNN65543 RXJ65543 SHF65543 SRB65543 TAX65543 TKT65543 TUP65543 UEL65543 UOH65543 UYD65543 VHZ65543 VRV65543 WBR65543 WLN65543 WVJ65543 B131079 IX131079 ST131079 ACP131079 AML131079 AWH131079 BGD131079 BPZ131079 BZV131079 CJR131079 CTN131079 DDJ131079 DNF131079 DXB131079 EGX131079 EQT131079 FAP131079 FKL131079 FUH131079 GED131079 GNZ131079 GXV131079 HHR131079 HRN131079 IBJ131079 ILF131079 IVB131079 JEX131079 JOT131079 JYP131079 KIL131079 KSH131079 LCD131079 LLZ131079 LVV131079 MFR131079 MPN131079 MZJ131079 NJF131079 NTB131079 OCX131079 OMT131079 OWP131079 PGL131079 PQH131079 QAD131079 QJZ131079 QTV131079 RDR131079 RNN131079 RXJ131079 SHF131079 SRB131079 TAX131079 TKT131079 TUP131079 UEL131079 UOH131079 UYD131079 VHZ131079 VRV131079 WBR131079 WLN131079 WVJ131079 B196615 IX196615 ST196615 ACP196615 AML196615 AWH196615 BGD196615 BPZ196615 BZV196615 CJR196615 CTN196615 DDJ196615 DNF196615 DXB196615 EGX196615 EQT196615 FAP196615 FKL196615 FUH196615 GED196615 GNZ196615 GXV196615 HHR196615 HRN196615 IBJ196615 ILF196615 IVB196615 JEX196615 JOT196615 JYP196615 KIL196615 KSH196615 LCD196615 LLZ196615 LVV196615 MFR196615 MPN196615 MZJ196615 NJF196615 NTB196615 OCX196615 OMT196615 OWP196615 PGL196615 PQH196615 QAD196615 QJZ196615 QTV196615 RDR196615 RNN196615 RXJ196615 SHF196615 SRB196615 TAX196615 TKT196615 TUP196615 UEL196615 UOH196615 UYD196615 VHZ196615 VRV196615 WBR196615 WLN196615 WVJ196615 B262151 IX262151 ST262151 ACP262151 AML262151 AWH262151 BGD262151 BPZ262151 BZV262151 CJR262151 CTN262151 DDJ262151 DNF262151 DXB262151 EGX262151 EQT262151 FAP262151 FKL262151 FUH262151 GED262151 GNZ262151 GXV262151 HHR262151 HRN262151 IBJ262151 ILF262151 IVB262151 JEX262151 JOT262151 JYP262151 KIL262151 KSH262151 LCD262151 LLZ262151 LVV262151 MFR262151 MPN262151 MZJ262151 NJF262151 NTB262151 OCX262151 OMT262151 OWP262151 PGL262151 PQH262151 QAD262151 QJZ262151 QTV262151 RDR262151 RNN262151 RXJ262151 SHF262151 SRB262151 TAX262151 TKT262151 TUP262151 UEL262151 UOH262151 UYD262151 VHZ262151 VRV262151 WBR262151 WLN262151 WVJ262151 B327687 IX327687 ST327687 ACP327687 AML327687 AWH327687 BGD327687 BPZ327687 BZV327687 CJR327687 CTN327687 DDJ327687 DNF327687 DXB327687 EGX327687 EQT327687 FAP327687 FKL327687 FUH327687 GED327687 GNZ327687 GXV327687 HHR327687 HRN327687 IBJ327687 ILF327687 IVB327687 JEX327687 JOT327687 JYP327687 KIL327687 KSH327687 LCD327687 LLZ327687 LVV327687 MFR327687 MPN327687 MZJ327687 NJF327687 NTB327687 OCX327687 OMT327687 OWP327687 PGL327687 PQH327687 QAD327687 QJZ327687 QTV327687 RDR327687 RNN327687 RXJ327687 SHF327687 SRB327687 TAX327687 TKT327687 TUP327687 UEL327687 UOH327687 UYD327687 VHZ327687 VRV327687 WBR327687 WLN327687 WVJ327687 B393223 IX393223 ST393223 ACP393223 AML393223 AWH393223 BGD393223 BPZ393223 BZV393223 CJR393223 CTN393223 DDJ393223 DNF393223 DXB393223 EGX393223 EQT393223 FAP393223 FKL393223 FUH393223 GED393223 GNZ393223 GXV393223 HHR393223 HRN393223 IBJ393223 ILF393223 IVB393223 JEX393223 JOT393223 JYP393223 KIL393223 KSH393223 LCD393223 LLZ393223 LVV393223 MFR393223 MPN393223 MZJ393223 NJF393223 NTB393223 OCX393223 OMT393223 OWP393223 PGL393223 PQH393223 QAD393223 QJZ393223 QTV393223 RDR393223 RNN393223 RXJ393223 SHF393223 SRB393223 TAX393223 TKT393223 TUP393223 UEL393223 UOH393223 UYD393223 VHZ393223 VRV393223 WBR393223 WLN393223 WVJ393223 B458759 IX458759 ST458759 ACP458759 AML458759 AWH458759 BGD458759 BPZ458759 BZV458759 CJR458759 CTN458759 DDJ458759 DNF458759 DXB458759 EGX458759 EQT458759 FAP458759 FKL458759 FUH458759 GED458759 GNZ458759 GXV458759 HHR458759 HRN458759 IBJ458759 ILF458759 IVB458759 JEX458759 JOT458759 JYP458759 KIL458759 KSH458759 LCD458759 LLZ458759 LVV458759 MFR458759 MPN458759 MZJ458759 NJF458759 NTB458759 OCX458759 OMT458759 OWP458759 PGL458759 PQH458759 QAD458759 QJZ458759 QTV458759 RDR458759 RNN458759 RXJ458759 SHF458759 SRB458759 TAX458759 TKT458759 TUP458759 UEL458759 UOH458759 UYD458759 VHZ458759 VRV458759 WBR458759 WLN458759 WVJ458759 B524295 IX524295 ST524295 ACP524295 AML524295 AWH524295 BGD524295 BPZ524295 BZV524295 CJR524295 CTN524295 DDJ524295 DNF524295 DXB524295 EGX524295 EQT524295 FAP524295 FKL524295 FUH524295 GED524295 GNZ524295 GXV524295 HHR524295 HRN524295 IBJ524295 ILF524295 IVB524295 JEX524295 JOT524295 JYP524295 KIL524295 KSH524295 LCD524295 LLZ524295 LVV524295 MFR524295 MPN524295 MZJ524295 NJF524295 NTB524295 OCX524295 OMT524295 OWP524295 PGL524295 PQH524295 QAD524295 QJZ524295 QTV524295 RDR524295 RNN524295 RXJ524295 SHF524295 SRB524295 TAX524295 TKT524295 TUP524295 UEL524295 UOH524295 UYD524295 VHZ524295 VRV524295 WBR524295 WLN524295 WVJ524295 B589831 IX589831 ST589831 ACP589831 AML589831 AWH589831 BGD589831 BPZ589831 BZV589831 CJR589831 CTN589831 DDJ589831 DNF589831 DXB589831 EGX589831 EQT589831 FAP589831 FKL589831 FUH589831 GED589831 GNZ589831 GXV589831 HHR589831 HRN589831 IBJ589831 ILF589831 IVB589831 JEX589831 JOT589831 JYP589831 KIL589831 KSH589831 LCD589831 LLZ589831 LVV589831 MFR589831 MPN589831 MZJ589831 NJF589831 NTB589831 OCX589831 OMT589831 OWP589831 PGL589831 PQH589831 QAD589831 QJZ589831 QTV589831 RDR589831 RNN589831 RXJ589831 SHF589831 SRB589831 TAX589831 TKT589831 TUP589831 UEL589831 UOH589831 UYD589831 VHZ589831 VRV589831 WBR589831 WLN589831 WVJ589831 B655367 IX655367 ST655367 ACP655367 AML655367 AWH655367 BGD655367 BPZ655367 BZV655367 CJR655367 CTN655367 DDJ655367 DNF655367 DXB655367 EGX655367 EQT655367 FAP655367 FKL655367 FUH655367 GED655367 GNZ655367 GXV655367 HHR655367 HRN655367 IBJ655367 ILF655367 IVB655367 JEX655367 JOT655367 JYP655367 KIL655367 KSH655367 LCD655367 LLZ655367 LVV655367 MFR655367 MPN655367 MZJ655367 NJF655367 NTB655367 OCX655367 OMT655367 OWP655367 PGL655367 PQH655367 QAD655367 QJZ655367 QTV655367 RDR655367 RNN655367 RXJ655367 SHF655367 SRB655367 TAX655367 TKT655367 TUP655367 UEL655367 UOH655367 UYD655367 VHZ655367 VRV655367 WBR655367 WLN655367 WVJ655367 B720903 IX720903 ST720903 ACP720903 AML720903 AWH720903 BGD720903 BPZ720903 BZV720903 CJR720903 CTN720903 DDJ720903 DNF720903 DXB720903 EGX720903 EQT720903 FAP720903 FKL720903 FUH720903 GED720903 GNZ720903 GXV720903 HHR720903 HRN720903 IBJ720903 ILF720903 IVB720903 JEX720903 JOT720903 JYP720903 KIL720903 KSH720903 LCD720903 LLZ720903 LVV720903 MFR720903 MPN720903 MZJ720903 NJF720903 NTB720903 OCX720903 OMT720903 OWP720903 PGL720903 PQH720903 QAD720903 QJZ720903 QTV720903 RDR720903 RNN720903 RXJ720903 SHF720903 SRB720903 TAX720903 TKT720903 TUP720903 UEL720903 UOH720903 UYD720903 VHZ720903 VRV720903 WBR720903 WLN720903 WVJ720903 B786439 IX786439 ST786439 ACP786439 AML786439 AWH786439 BGD786439 BPZ786439 BZV786439 CJR786439 CTN786439 DDJ786439 DNF786439 DXB786439 EGX786439 EQT786439 FAP786439 FKL786439 FUH786439 GED786439 GNZ786439 GXV786439 HHR786439 HRN786439 IBJ786439 ILF786439 IVB786439 JEX786439 JOT786439 JYP786439 KIL786439 KSH786439 LCD786439 LLZ786439 LVV786439 MFR786439 MPN786439 MZJ786439 NJF786439 NTB786439 OCX786439 OMT786439 OWP786439 PGL786439 PQH786439 QAD786439 QJZ786439 QTV786439 RDR786439 RNN786439 RXJ786439 SHF786439 SRB786439 TAX786439 TKT786439 TUP786439 UEL786439 UOH786439 UYD786439 VHZ786439 VRV786439 WBR786439 WLN786439 WVJ786439 B851975 IX851975 ST851975 ACP851975 AML851975 AWH851975 BGD851975 BPZ851975 BZV851975 CJR851975 CTN851975 DDJ851975 DNF851975 DXB851975 EGX851975 EQT851975 FAP851975 FKL851975 FUH851975 GED851975 GNZ851975 GXV851975 HHR851975 HRN851975 IBJ851975 ILF851975 IVB851975 JEX851975 JOT851975 JYP851975 KIL851975 KSH851975 LCD851975 LLZ851975 LVV851975 MFR851975 MPN851975 MZJ851975 NJF851975 NTB851975 OCX851975 OMT851975 OWP851975 PGL851975 PQH851975 QAD851975 QJZ851975 QTV851975 RDR851975 RNN851975 RXJ851975 SHF851975 SRB851975 TAX851975 TKT851975 TUP851975 UEL851975 UOH851975 UYD851975 VHZ851975 VRV851975 WBR851975 WLN851975 WVJ851975 B917511 IX917511 ST917511 ACP917511 AML917511 AWH917511 BGD917511 BPZ917511 BZV917511 CJR917511 CTN917511 DDJ917511 DNF917511 DXB917511 EGX917511 EQT917511 FAP917511 FKL917511 FUH917511 GED917511 GNZ917511 GXV917511 HHR917511 HRN917511 IBJ917511 ILF917511 IVB917511 JEX917511 JOT917511 JYP917511 KIL917511 KSH917511 LCD917511 LLZ917511 LVV917511 MFR917511 MPN917511 MZJ917511 NJF917511 NTB917511 OCX917511 OMT917511 OWP917511 PGL917511 PQH917511 QAD917511 QJZ917511 QTV917511 RDR917511 RNN917511 RXJ917511 SHF917511 SRB917511 TAX917511 TKT917511 TUP917511 UEL917511 UOH917511 UYD917511 VHZ917511 VRV917511 WBR917511 WLN917511 WVJ917511 B983047 IX983047 ST983047 ACP983047 AML983047 AWH983047 BGD983047 BPZ983047 BZV983047 CJR983047 CTN983047 DDJ983047 DNF983047 DXB983047 EGX983047 EQT983047 FAP983047 FKL983047 FUH983047 GED983047 GNZ983047 GXV983047 HHR983047 HRN983047 IBJ983047 ILF983047 IVB983047 JEX983047 JOT983047 JYP983047 KIL983047 KSH983047 LCD983047 LLZ983047 LVV983047 MFR983047 MPN983047 MZJ983047 NJF983047 NTB983047 OCX983047 OMT983047 OWP983047 PGL983047 PQH983047 QAD983047 QJZ983047 QTV983047 RDR983047 RNN983047 RXJ983047 SHF983047 SRB983047 TAX983047 TKT983047 TUP983047 UEL983047 UOH983047 UYD983047 VHZ983047 VRV983047 WBR983047 WLN983047 WVJ983047" xr:uid="{C612BB75-6139-4D5F-9E20-007697901AEB}">
      <formula1>"15,20,25,30,35,40,45,50,55,60"</formula1>
    </dataValidation>
    <dataValidation type="whole" allowBlank="1" showInputMessage="1" showErrorMessage="1" sqref="B5 IX5 ST5 ACP5 AML5 AWH5 BGD5 BPZ5 BZV5 CJR5 CTN5 DDJ5 DNF5 DXB5 EGX5 EQT5 FAP5 FKL5 FUH5 GED5 GNZ5 GXV5 HHR5 HRN5 IBJ5 ILF5 IVB5 JEX5 JOT5 JYP5 KIL5 KSH5 LCD5 LLZ5 LVV5 MFR5 MPN5 MZJ5 NJF5 NTB5 OCX5 OMT5 OWP5 PGL5 PQH5 QAD5 QJZ5 QTV5 RDR5 RNN5 RXJ5 SHF5 SRB5 TAX5 TKT5 TUP5 UEL5 UOH5 UYD5 VHZ5 VRV5 WBR5 WLN5 WVJ5 B65541 IX65541 ST65541 ACP65541 AML65541 AWH65541 BGD65541 BPZ65541 BZV65541 CJR65541 CTN65541 DDJ65541 DNF65541 DXB65541 EGX65541 EQT65541 FAP65541 FKL65541 FUH65541 GED65541 GNZ65541 GXV65541 HHR65541 HRN65541 IBJ65541 ILF65541 IVB65541 JEX65541 JOT65541 JYP65541 KIL65541 KSH65541 LCD65541 LLZ65541 LVV65541 MFR65541 MPN65541 MZJ65541 NJF65541 NTB65541 OCX65541 OMT65541 OWP65541 PGL65541 PQH65541 QAD65541 QJZ65541 QTV65541 RDR65541 RNN65541 RXJ65541 SHF65541 SRB65541 TAX65541 TKT65541 TUP65541 UEL65541 UOH65541 UYD65541 VHZ65541 VRV65541 WBR65541 WLN65541 WVJ65541 B131077 IX131077 ST131077 ACP131077 AML131077 AWH131077 BGD131077 BPZ131077 BZV131077 CJR131077 CTN131077 DDJ131077 DNF131077 DXB131077 EGX131077 EQT131077 FAP131077 FKL131077 FUH131077 GED131077 GNZ131077 GXV131077 HHR131077 HRN131077 IBJ131077 ILF131077 IVB131077 JEX131077 JOT131077 JYP131077 KIL131077 KSH131077 LCD131077 LLZ131077 LVV131077 MFR131077 MPN131077 MZJ131077 NJF131077 NTB131077 OCX131077 OMT131077 OWP131077 PGL131077 PQH131077 QAD131077 QJZ131077 QTV131077 RDR131077 RNN131077 RXJ131077 SHF131077 SRB131077 TAX131077 TKT131077 TUP131077 UEL131077 UOH131077 UYD131077 VHZ131077 VRV131077 WBR131077 WLN131077 WVJ131077 B196613 IX196613 ST196613 ACP196613 AML196613 AWH196613 BGD196613 BPZ196613 BZV196613 CJR196613 CTN196613 DDJ196613 DNF196613 DXB196613 EGX196613 EQT196613 FAP196613 FKL196613 FUH196613 GED196613 GNZ196613 GXV196613 HHR196613 HRN196613 IBJ196613 ILF196613 IVB196613 JEX196613 JOT196613 JYP196613 KIL196613 KSH196613 LCD196613 LLZ196613 LVV196613 MFR196613 MPN196613 MZJ196613 NJF196613 NTB196613 OCX196613 OMT196613 OWP196613 PGL196613 PQH196613 QAD196613 QJZ196613 QTV196613 RDR196613 RNN196613 RXJ196613 SHF196613 SRB196613 TAX196613 TKT196613 TUP196613 UEL196613 UOH196613 UYD196613 VHZ196613 VRV196613 WBR196613 WLN196613 WVJ196613 B262149 IX262149 ST262149 ACP262149 AML262149 AWH262149 BGD262149 BPZ262149 BZV262149 CJR262149 CTN262149 DDJ262149 DNF262149 DXB262149 EGX262149 EQT262149 FAP262149 FKL262149 FUH262149 GED262149 GNZ262149 GXV262149 HHR262149 HRN262149 IBJ262149 ILF262149 IVB262149 JEX262149 JOT262149 JYP262149 KIL262149 KSH262149 LCD262149 LLZ262149 LVV262149 MFR262149 MPN262149 MZJ262149 NJF262149 NTB262149 OCX262149 OMT262149 OWP262149 PGL262149 PQH262149 QAD262149 QJZ262149 QTV262149 RDR262149 RNN262149 RXJ262149 SHF262149 SRB262149 TAX262149 TKT262149 TUP262149 UEL262149 UOH262149 UYD262149 VHZ262149 VRV262149 WBR262149 WLN262149 WVJ262149 B327685 IX327685 ST327685 ACP327685 AML327685 AWH327685 BGD327685 BPZ327685 BZV327685 CJR327685 CTN327685 DDJ327685 DNF327685 DXB327685 EGX327685 EQT327685 FAP327685 FKL327685 FUH327685 GED327685 GNZ327685 GXV327685 HHR327685 HRN327685 IBJ327685 ILF327685 IVB327685 JEX327685 JOT327685 JYP327685 KIL327685 KSH327685 LCD327685 LLZ327685 LVV327685 MFR327685 MPN327685 MZJ327685 NJF327685 NTB327685 OCX327685 OMT327685 OWP327685 PGL327685 PQH327685 QAD327685 QJZ327685 QTV327685 RDR327685 RNN327685 RXJ327685 SHF327685 SRB327685 TAX327685 TKT327685 TUP327685 UEL327685 UOH327685 UYD327685 VHZ327685 VRV327685 WBR327685 WLN327685 WVJ327685 B393221 IX393221 ST393221 ACP393221 AML393221 AWH393221 BGD393221 BPZ393221 BZV393221 CJR393221 CTN393221 DDJ393221 DNF393221 DXB393221 EGX393221 EQT393221 FAP393221 FKL393221 FUH393221 GED393221 GNZ393221 GXV393221 HHR393221 HRN393221 IBJ393221 ILF393221 IVB393221 JEX393221 JOT393221 JYP393221 KIL393221 KSH393221 LCD393221 LLZ393221 LVV393221 MFR393221 MPN393221 MZJ393221 NJF393221 NTB393221 OCX393221 OMT393221 OWP393221 PGL393221 PQH393221 QAD393221 QJZ393221 QTV393221 RDR393221 RNN393221 RXJ393221 SHF393221 SRB393221 TAX393221 TKT393221 TUP393221 UEL393221 UOH393221 UYD393221 VHZ393221 VRV393221 WBR393221 WLN393221 WVJ393221 B458757 IX458757 ST458757 ACP458757 AML458757 AWH458757 BGD458757 BPZ458757 BZV458757 CJR458757 CTN458757 DDJ458757 DNF458757 DXB458757 EGX458757 EQT458757 FAP458757 FKL458757 FUH458757 GED458757 GNZ458757 GXV458757 HHR458757 HRN458757 IBJ458757 ILF458757 IVB458757 JEX458757 JOT458757 JYP458757 KIL458757 KSH458757 LCD458757 LLZ458757 LVV458757 MFR458757 MPN458757 MZJ458757 NJF458757 NTB458757 OCX458757 OMT458757 OWP458757 PGL458757 PQH458757 QAD458757 QJZ458757 QTV458757 RDR458757 RNN458757 RXJ458757 SHF458757 SRB458757 TAX458757 TKT458757 TUP458757 UEL458757 UOH458757 UYD458757 VHZ458757 VRV458757 WBR458757 WLN458757 WVJ458757 B524293 IX524293 ST524293 ACP524293 AML524293 AWH524293 BGD524293 BPZ524293 BZV524293 CJR524293 CTN524293 DDJ524293 DNF524293 DXB524293 EGX524293 EQT524293 FAP524293 FKL524293 FUH524293 GED524293 GNZ524293 GXV524293 HHR524293 HRN524293 IBJ524293 ILF524293 IVB524293 JEX524293 JOT524293 JYP524293 KIL524293 KSH524293 LCD524293 LLZ524293 LVV524293 MFR524293 MPN524293 MZJ524293 NJF524293 NTB524293 OCX524293 OMT524293 OWP524293 PGL524293 PQH524293 QAD524293 QJZ524293 QTV524293 RDR524293 RNN524293 RXJ524293 SHF524293 SRB524293 TAX524293 TKT524293 TUP524293 UEL524293 UOH524293 UYD524293 VHZ524293 VRV524293 WBR524293 WLN524293 WVJ524293 B589829 IX589829 ST589829 ACP589829 AML589829 AWH589829 BGD589829 BPZ589829 BZV589829 CJR589829 CTN589829 DDJ589829 DNF589829 DXB589829 EGX589829 EQT589829 FAP589829 FKL589829 FUH589829 GED589829 GNZ589829 GXV589829 HHR589829 HRN589829 IBJ589829 ILF589829 IVB589829 JEX589829 JOT589829 JYP589829 KIL589829 KSH589829 LCD589829 LLZ589829 LVV589829 MFR589829 MPN589829 MZJ589829 NJF589829 NTB589829 OCX589829 OMT589829 OWP589829 PGL589829 PQH589829 QAD589829 QJZ589829 QTV589829 RDR589829 RNN589829 RXJ589829 SHF589829 SRB589829 TAX589829 TKT589829 TUP589829 UEL589829 UOH589829 UYD589829 VHZ589829 VRV589829 WBR589829 WLN589829 WVJ589829 B655365 IX655365 ST655365 ACP655365 AML655365 AWH655365 BGD655365 BPZ655365 BZV655365 CJR655365 CTN655365 DDJ655365 DNF655365 DXB655365 EGX655365 EQT655365 FAP655365 FKL655365 FUH655365 GED655365 GNZ655365 GXV655365 HHR655365 HRN655365 IBJ655365 ILF655365 IVB655365 JEX655365 JOT655365 JYP655365 KIL655365 KSH655365 LCD655365 LLZ655365 LVV655365 MFR655365 MPN655365 MZJ655365 NJF655365 NTB655365 OCX655365 OMT655365 OWP655365 PGL655365 PQH655365 QAD655365 QJZ655365 QTV655365 RDR655365 RNN655365 RXJ655365 SHF655365 SRB655365 TAX655365 TKT655365 TUP655365 UEL655365 UOH655365 UYD655365 VHZ655365 VRV655365 WBR655365 WLN655365 WVJ655365 B720901 IX720901 ST720901 ACP720901 AML720901 AWH720901 BGD720901 BPZ720901 BZV720901 CJR720901 CTN720901 DDJ720901 DNF720901 DXB720901 EGX720901 EQT720901 FAP720901 FKL720901 FUH720901 GED720901 GNZ720901 GXV720901 HHR720901 HRN720901 IBJ720901 ILF720901 IVB720901 JEX720901 JOT720901 JYP720901 KIL720901 KSH720901 LCD720901 LLZ720901 LVV720901 MFR720901 MPN720901 MZJ720901 NJF720901 NTB720901 OCX720901 OMT720901 OWP720901 PGL720901 PQH720901 QAD720901 QJZ720901 QTV720901 RDR720901 RNN720901 RXJ720901 SHF720901 SRB720901 TAX720901 TKT720901 TUP720901 UEL720901 UOH720901 UYD720901 VHZ720901 VRV720901 WBR720901 WLN720901 WVJ720901 B786437 IX786437 ST786437 ACP786437 AML786437 AWH786437 BGD786437 BPZ786437 BZV786437 CJR786437 CTN786437 DDJ786437 DNF786437 DXB786437 EGX786437 EQT786437 FAP786437 FKL786437 FUH786437 GED786437 GNZ786437 GXV786437 HHR786437 HRN786437 IBJ786437 ILF786437 IVB786437 JEX786437 JOT786437 JYP786437 KIL786437 KSH786437 LCD786437 LLZ786437 LVV786437 MFR786437 MPN786437 MZJ786437 NJF786437 NTB786437 OCX786437 OMT786437 OWP786437 PGL786437 PQH786437 QAD786437 QJZ786437 QTV786437 RDR786437 RNN786437 RXJ786437 SHF786437 SRB786437 TAX786437 TKT786437 TUP786437 UEL786437 UOH786437 UYD786437 VHZ786437 VRV786437 WBR786437 WLN786437 WVJ786437 B851973 IX851973 ST851973 ACP851973 AML851973 AWH851973 BGD851973 BPZ851973 BZV851973 CJR851973 CTN851973 DDJ851973 DNF851973 DXB851973 EGX851973 EQT851973 FAP851973 FKL851973 FUH851973 GED851973 GNZ851973 GXV851973 HHR851973 HRN851973 IBJ851973 ILF851973 IVB851973 JEX851973 JOT851973 JYP851973 KIL851973 KSH851973 LCD851973 LLZ851973 LVV851973 MFR851973 MPN851973 MZJ851973 NJF851973 NTB851973 OCX851973 OMT851973 OWP851973 PGL851973 PQH851973 QAD851973 QJZ851973 QTV851973 RDR851973 RNN851973 RXJ851973 SHF851973 SRB851973 TAX851973 TKT851973 TUP851973 UEL851973 UOH851973 UYD851973 VHZ851973 VRV851973 WBR851973 WLN851973 WVJ851973 B917509 IX917509 ST917509 ACP917509 AML917509 AWH917509 BGD917509 BPZ917509 BZV917509 CJR917509 CTN917509 DDJ917509 DNF917509 DXB917509 EGX917509 EQT917509 FAP917509 FKL917509 FUH917509 GED917509 GNZ917509 GXV917509 HHR917509 HRN917509 IBJ917509 ILF917509 IVB917509 JEX917509 JOT917509 JYP917509 KIL917509 KSH917509 LCD917509 LLZ917509 LVV917509 MFR917509 MPN917509 MZJ917509 NJF917509 NTB917509 OCX917509 OMT917509 OWP917509 PGL917509 PQH917509 QAD917509 QJZ917509 QTV917509 RDR917509 RNN917509 RXJ917509 SHF917509 SRB917509 TAX917509 TKT917509 TUP917509 UEL917509 UOH917509 UYD917509 VHZ917509 VRV917509 WBR917509 WLN917509 WVJ917509 B983045 IX983045 ST983045 ACP983045 AML983045 AWH983045 BGD983045 BPZ983045 BZV983045 CJR983045 CTN983045 DDJ983045 DNF983045 DXB983045 EGX983045 EQT983045 FAP983045 FKL983045 FUH983045 GED983045 GNZ983045 GXV983045 HHR983045 HRN983045 IBJ983045 ILF983045 IVB983045 JEX983045 JOT983045 JYP983045 KIL983045 KSH983045 LCD983045 LLZ983045 LVV983045 MFR983045 MPN983045 MZJ983045 NJF983045 NTB983045 OCX983045 OMT983045 OWP983045 PGL983045 PQH983045 QAD983045 QJZ983045 QTV983045 RDR983045 RNN983045 RXJ983045 SHF983045 SRB983045 TAX983045 TKT983045 TUP983045 UEL983045 UOH983045 UYD983045 VHZ983045 VRV983045 WBR983045 WLN983045 WVJ983045" xr:uid="{3741E186-8DE2-47A8-8C28-394B961D5477}">
      <formula1>100</formula1>
      <formula2>2000</formula2>
    </dataValidation>
    <dataValidation type="list" allowBlank="1" showInputMessage="1" showErrorMessage="1" sqref="H22 JD22 SZ22 ACV22 AMR22 AWN22 BGJ22 BQF22 CAB22 CJX22 CTT22 DDP22 DNL22 DXH22 EHD22 EQZ22 FAV22 FKR22 FUN22 GEJ22 GOF22 GYB22 HHX22 HRT22 IBP22 ILL22 IVH22 JFD22 JOZ22 JYV22 KIR22 KSN22 LCJ22 LMF22 LWB22 MFX22 MPT22 MZP22 NJL22 NTH22 ODD22 OMZ22 OWV22 PGR22 PQN22 QAJ22 QKF22 QUB22 RDX22 RNT22 RXP22 SHL22 SRH22 TBD22 TKZ22 TUV22 UER22 UON22 UYJ22 VIF22 VSB22 WBX22 WLT22 WVP22 H65558 JD65558 SZ65558 ACV65558 AMR65558 AWN65558 BGJ65558 BQF65558 CAB65558 CJX65558 CTT65558 DDP65558 DNL65558 DXH65558 EHD65558 EQZ65558 FAV65558 FKR65558 FUN65558 GEJ65558 GOF65558 GYB65558 HHX65558 HRT65558 IBP65558 ILL65558 IVH65558 JFD65558 JOZ65558 JYV65558 KIR65558 KSN65558 LCJ65558 LMF65558 LWB65558 MFX65558 MPT65558 MZP65558 NJL65558 NTH65558 ODD65558 OMZ65558 OWV65558 PGR65558 PQN65558 QAJ65558 QKF65558 QUB65558 RDX65558 RNT65558 RXP65558 SHL65558 SRH65558 TBD65558 TKZ65558 TUV65558 UER65558 UON65558 UYJ65558 VIF65558 VSB65558 WBX65558 WLT65558 WVP65558 H131094 JD131094 SZ131094 ACV131094 AMR131094 AWN131094 BGJ131094 BQF131094 CAB131094 CJX131094 CTT131094 DDP131094 DNL131094 DXH131094 EHD131094 EQZ131094 FAV131094 FKR131094 FUN131094 GEJ131094 GOF131094 GYB131094 HHX131094 HRT131094 IBP131094 ILL131094 IVH131094 JFD131094 JOZ131094 JYV131094 KIR131094 KSN131094 LCJ131094 LMF131094 LWB131094 MFX131094 MPT131094 MZP131094 NJL131094 NTH131094 ODD131094 OMZ131094 OWV131094 PGR131094 PQN131094 QAJ131094 QKF131094 QUB131094 RDX131094 RNT131094 RXP131094 SHL131094 SRH131094 TBD131094 TKZ131094 TUV131094 UER131094 UON131094 UYJ131094 VIF131094 VSB131094 WBX131094 WLT131094 WVP131094 H196630 JD196630 SZ196630 ACV196630 AMR196630 AWN196630 BGJ196630 BQF196630 CAB196630 CJX196630 CTT196630 DDP196630 DNL196630 DXH196630 EHD196630 EQZ196630 FAV196630 FKR196630 FUN196630 GEJ196630 GOF196630 GYB196630 HHX196630 HRT196630 IBP196630 ILL196630 IVH196630 JFD196630 JOZ196630 JYV196630 KIR196630 KSN196630 LCJ196630 LMF196630 LWB196630 MFX196630 MPT196630 MZP196630 NJL196630 NTH196630 ODD196630 OMZ196630 OWV196630 PGR196630 PQN196630 QAJ196630 QKF196630 QUB196630 RDX196630 RNT196630 RXP196630 SHL196630 SRH196630 TBD196630 TKZ196630 TUV196630 UER196630 UON196630 UYJ196630 VIF196630 VSB196630 WBX196630 WLT196630 WVP196630 H262166 JD262166 SZ262166 ACV262166 AMR262166 AWN262166 BGJ262166 BQF262166 CAB262166 CJX262166 CTT262166 DDP262166 DNL262166 DXH262166 EHD262166 EQZ262166 FAV262166 FKR262166 FUN262166 GEJ262166 GOF262166 GYB262166 HHX262166 HRT262166 IBP262166 ILL262166 IVH262166 JFD262166 JOZ262166 JYV262166 KIR262166 KSN262166 LCJ262166 LMF262166 LWB262166 MFX262166 MPT262166 MZP262166 NJL262166 NTH262166 ODD262166 OMZ262166 OWV262166 PGR262166 PQN262166 QAJ262166 QKF262166 QUB262166 RDX262166 RNT262166 RXP262166 SHL262166 SRH262166 TBD262166 TKZ262166 TUV262166 UER262166 UON262166 UYJ262166 VIF262166 VSB262166 WBX262166 WLT262166 WVP262166 H327702 JD327702 SZ327702 ACV327702 AMR327702 AWN327702 BGJ327702 BQF327702 CAB327702 CJX327702 CTT327702 DDP327702 DNL327702 DXH327702 EHD327702 EQZ327702 FAV327702 FKR327702 FUN327702 GEJ327702 GOF327702 GYB327702 HHX327702 HRT327702 IBP327702 ILL327702 IVH327702 JFD327702 JOZ327702 JYV327702 KIR327702 KSN327702 LCJ327702 LMF327702 LWB327702 MFX327702 MPT327702 MZP327702 NJL327702 NTH327702 ODD327702 OMZ327702 OWV327702 PGR327702 PQN327702 QAJ327702 QKF327702 QUB327702 RDX327702 RNT327702 RXP327702 SHL327702 SRH327702 TBD327702 TKZ327702 TUV327702 UER327702 UON327702 UYJ327702 VIF327702 VSB327702 WBX327702 WLT327702 WVP327702 H393238 JD393238 SZ393238 ACV393238 AMR393238 AWN393238 BGJ393238 BQF393238 CAB393238 CJX393238 CTT393238 DDP393238 DNL393238 DXH393238 EHD393238 EQZ393238 FAV393238 FKR393238 FUN393238 GEJ393238 GOF393238 GYB393238 HHX393238 HRT393238 IBP393238 ILL393238 IVH393238 JFD393238 JOZ393238 JYV393238 KIR393238 KSN393238 LCJ393238 LMF393238 LWB393238 MFX393238 MPT393238 MZP393238 NJL393238 NTH393238 ODD393238 OMZ393238 OWV393238 PGR393238 PQN393238 QAJ393238 QKF393238 QUB393238 RDX393238 RNT393238 RXP393238 SHL393238 SRH393238 TBD393238 TKZ393238 TUV393238 UER393238 UON393238 UYJ393238 VIF393238 VSB393238 WBX393238 WLT393238 WVP393238 H458774 JD458774 SZ458774 ACV458774 AMR458774 AWN458774 BGJ458774 BQF458774 CAB458774 CJX458774 CTT458774 DDP458774 DNL458774 DXH458774 EHD458774 EQZ458774 FAV458774 FKR458774 FUN458774 GEJ458774 GOF458774 GYB458774 HHX458774 HRT458774 IBP458774 ILL458774 IVH458774 JFD458774 JOZ458774 JYV458774 KIR458774 KSN458774 LCJ458774 LMF458774 LWB458774 MFX458774 MPT458774 MZP458774 NJL458774 NTH458774 ODD458774 OMZ458774 OWV458774 PGR458774 PQN458774 QAJ458774 QKF458774 QUB458774 RDX458774 RNT458774 RXP458774 SHL458774 SRH458774 TBD458774 TKZ458774 TUV458774 UER458774 UON458774 UYJ458774 VIF458774 VSB458774 WBX458774 WLT458774 WVP458774 H524310 JD524310 SZ524310 ACV524310 AMR524310 AWN524310 BGJ524310 BQF524310 CAB524310 CJX524310 CTT524310 DDP524310 DNL524310 DXH524310 EHD524310 EQZ524310 FAV524310 FKR524310 FUN524310 GEJ524310 GOF524310 GYB524310 HHX524310 HRT524310 IBP524310 ILL524310 IVH524310 JFD524310 JOZ524310 JYV524310 KIR524310 KSN524310 LCJ524310 LMF524310 LWB524310 MFX524310 MPT524310 MZP524310 NJL524310 NTH524310 ODD524310 OMZ524310 OWV524310 PGR524310 PQN524310 QAJ524310 QKF524310 QUB524310 RDX524310 RNT524310 RXP524310 SHL524310 SRH524310 TBD524310 TKZ524310 TUV524310 UER524310 UON524310 UYJ524310 VIF524310 VSB524310 WBX524310 WLT524310 WVP524310 H589846 JD589846 SZ589846 ACV589846 AMR589846 AWN589846 BGJ589846 BQF589846 CAB589846 CJX589846 CTT589846 DDP589846 DNL589846 DXH589846 EHD589846 EQZ589846 FAV589846 FKR589846 FUN589846 GEJ589846 GOF589846 GYB589846 HHX589846 HRT589846 IBP589846 ILL589846 IVH589846 JFD589846 JOZ589846 JYV589846 KIR589846 KSN589846 LCJ589846 LMF589846 LWB589846 MFX589846 MPT589846 MZP589846 NJL589846 NTH589846 ODD589846 OMZ589846 OWV589846 PGR589846 PQN589846 QAJ589846 QKF589846 QUB589846 RDX589846 RNT589846 RXP589846 SHL589846 SRH589846 TBD589846 TKZ589846 TUV589846 UER589846 UON589846 UYJ589846 VIF589846 VSB589846 WBX589846 WLT589846 WVP589846 H655382 JD655382 SZ655382 ACV655382 AMR655382 AWN655382 BGJ655382 BQF655382 CAB655382 CJX655382 CTT655382 DDP655382 DNL655382 DXH655382 EHD655382 EQZ655382 FAV655382 FKR655382 FUN655382 GEJ655382 GOF655382 GYB655382 HHX655382 HRT655382 IBP655382 ILL655382 IVH655382 JFD655382 JOZ655382 JYV655382 KIR655382 KSN655382 LCJ655382 LMF655382 LWB655382 MFX655382 MPT655382 MZP655382 NJL655382 NTH655382 ODD655382 OMZ655382 OWV655382 PGR655382 PQN655382 QAJ655382 QKF655382 QUB655382 RDX655382 RNT655382 RXP655382 SHL655382 SRH655382 TBD655382 TKZ655382 TUV655382 UER655382 UON655382 UYJ655382 VIF655382 VSB655382 WBX655382 WLT655382 WVP655382 H720918 JD720918 SZ720918 ACV720918 AMR720918 AWN720918 BGJ720918 BQF720918 CAB720918 CJX720918 CTT720918 DDP720918 DNL720918 DXH720918 EHD720918 EQZ720918 FAV720918 FKR720918 FUN720918 GEJ720918 GOF720918 GYB720918 HHX720918 HRT720918 IBP720918 ILL720918 IVH720918 JFD720918 JOZ720918 JYV720918 KIR720918 KSN720918 LCJ720918 LMF720918 LWB720918 MFX720918 MPT720918 MZP720918 NJL720918 NTH720918 ODD720918 OMZ720918 OWV720918 PGR720918 PQN720918 QAJ720918 QKF720918 QUB720918 RDX720918 RNT720918 RXP720918 SHL720918 SRH720918 TBD720918 TKZ720918 TUV720918 UER720918 UON720918 UYJ720918 VIF720918 VSB720918 WBX720918 WLT720918 WVP720918 H786454 JD786454 SZ786454 ACV786454 AMR786454 AWN786454 BGJ786454 BQF786454 CAB786454 CJX786454 CTT786454 DDP786454 DNL786454 DXH786454 EHD786454 EQZ786454 FAV786454 FKR786454 FUN786454 GEJ786454 GOF786454 GYB786454 HHX786454 HRT786454 IBP786454 ILL786454 IVH786454 JFD786454 JOZ786454 JYV786454 KIR786454 KSN786454 LCJ786454 LMF786454 LWB786454 MFX786454 MPT786454 MZP786454 NJL786454 NTH786454 ODD786454 OMZ786454 OWV786454 PGR786454 PQN786454 QAJ786454 QKF786454 QUB786454 RDX786454 RNT786454 RXP786454 SHL786454 SRH786454 TBD786454 TKZ786454 TUV786454 UER786454 UON786454 UYJ786454 VIF786454 VSB786454 WBX786454 WLT786454 WVP786454 H851990 JD851990 SZ851990 ACV851990 AMR851990 AWN851990 BGJ851990 BQF851990 CAB851990 CJX851990 CTT851990 DDP851990 DNL851990 DXH851990 EHD851990 EQZ851990 FAV851990 FKR851990 FUN851990 GEJ851990 GOF851990 GYB851990 HHX851990 HRT851990 IBP851990 ILL851990 IVH851990 JFD851990 JOZ851990 JYV851990 KIR851990 KSN851990 LCJ851990 LMF851990 LWB851990 MFX851990 MPT851990 MZP851990 NJL851990 NTH851990 ODD851990 OMZ851990 OWV851990 PGR851990 PQN851990 QAJ851990 QKF851990 QUB851990 RDX851990 RNT851990 RXP851990 SHL851990 SRH851990 TBD851990 TKZ851990 TUV851990 UER851990 UON851990 UYJ851990 VIF851990 VSB851990 WBX851990 WLT851990 WVP851990 H917526 JD917526 SZ917526 ACV917526 AMR917526 AWN917526 BGJ917526 BQF917526 CAB917526 CJX917526 CTT917526 DDP917526 DNL917526 DXH917526 EHD917526 EQZ917526 FAV917526 FKR917526 FUN917526 GEJ917526 GOF917526 GYB917526 HHX917526 HRT917526 IBP917526 ILL917526 IVH917526 JFD917526 JOZ917526 JYV917526 KIR917526 KSN917526 LCJ917526 LMF917526 LWB917526 MFX917526 MPT917526 MZP917526 NJL917526 NTH917526 ODD917526 OMZ917526 OWV917526 PGR917526 PQN917526 QAJ917526 QKF917526 QUB917526 RDX917526 RNT917526 RXP917526 SHL917526 SRH917526 TBD917526 TKZ917526 TUV917526 UER917526 UON917526 UYJ917526 VIF917526 VSB917526 WBX917526 WLT917526 WVP917526 H983062 JD983062 SZ983062 ACV983062 AMR983062 AWN983062 BGJ983062 BQF983062 CAB983062 CJX983062 CTT983062 DDP983062 DNL983062 DXH983062 EHD983062 EQZ983062 FAV983062 FKR983062 FUN983062 GEJ983062 GOF983062 GYB983062 HHX983062 HRT983062 IBP983062 ILL983062 IVH983062 JFD983062 JOZ983062 JYV983062 KIR983062 KSN983062 LCJ983062 LMF983062 LWB983062 MFX983062 MPT983062 MZP983062 NJL983062 NTH983062 ODD983062 OMZ983062 OWV983062 PGR983062 PQN983062 QAJ983062 QKF983062 QUB983062 RDX983062 RNT983062 RXP983062 SHL983062 SRH983062 TBD983062 TKZ983062 TUV983062 UER983062 UON983062 UYJ983062 VIF983062 VSB983062 WBX983062 WLT983062 WVP983062" xr:uid="{047FD07D-17C0-4714-8B5F-67E7B50A995C}">
      <formula1>"6,8,10,12,14,16,20"</formula1>
    </dataValidation>
    <dataValidation type="list" showInputMessage="1" showErrorMessage="1" sqref="D7 IZ7 SV7 ACR7 AMN7 AWJ7 BGF7 BQB7 BZX7 CJT7 CTP7 DDL7 DNH7 DXD7 EGZ7 EQV7 FAR7 FKN7 FUJ7 GEF7 GOB7 GXX7 HHT7 HRP7 IBL7 ILH7 IVD7 JEZ7 JOV7 JYR7 KIN7 KSJ7 LCF7 LMB7 LVX7 MFT7 MPP7 MZL7 NJH7 NTD7 OCZ7 OMV7 OWR7 PGN7 PQJ7 QAF7 QKB7 QTX7 RDT7 RNP7 RXL7 SHH7 SRD7 TAZ7 TKV7 TUR7 UEN7 UOJ7 UYF7 VIB7 VRX7 WBT7 WLP7 WVL7 D65543 IZ65543 SV65543 ACR65543 AMN65543 AWJ65543 BGF65543 BQB65543 BZX65543 CJT65543 CTP65543 DDL65543 DNH65543 DXD65543 EGZ65543 EQV65543 FAR65543 FKN65543 FUJ65543 GEF65543 GOB65543 GXX65543 HHT65543 HRP65543 IBL65543 ILH65543 IVD65543 JEZ65543 JOV65543 JYR65543 KIN65543 KSJ65543 LCF65543 LMB65543 LVX65543 MFT65543 MPP65543 MZL65543 NJH65543 NTD65543 OCZ65543 OMV65543 OWR65543 PGN65543 PQJ65543 QAF65543 QKB65543 QTX65543 RDT65543 RNP65543 RXL65543 SHH65543 SRD65543 TAZ65543 TKV65543 TUR65543 UEN65543 UOJ65543 UYF65543 VIB65543 VRX65543 WBT65543 WLP65543 WVL65543 D131079 IZ131079 SV131079 ACR131079 AMN131079 AWJ131079 BGF131079 BQB131079 BZX131079 CJT131079 CTP131079 DDL131079 DNH131079 DXD131079 EGZ131079 EQV131079 FAR131079 FKN131079 FUJ131079 GEF131079 GOB131079 GXX131079 HHT131079 HRP131079 IBL131079 ILH131079 IVD131079 JEZ131079 JOV131079 JYR131079 KIN131079 KSJ131079 LCF131079 LMB131079 LVX131079 MFT131079 MPP131079 MZL131079 NJH131079 NTD131079 OCZ131079 OMV131079 OWR131079 PGN131079 PQJ131079 QAF131079 QKB131079 QTX131079 RDT131079 RNP131079 RXL131079 SHH131079 SRD131079 TAZ131079 TKV131079 TUR131079 UEN131079 UOJ131079 UYF131079 VIB131079 VRX131079 WBT131079 WLP131079 WVL131079 D196615 IZ196615 SV196615 ACR196615 AMN196615 AWJ196615 BGF196615 BQB196615 BZX196615 CJT196615 CTP196615 DDL196615 DNH196615 DXD196615 EGZ196615 EQV196615 FAR196615 FKN196615 FUJ196615 GEF196615 GOB196615 GXX196615 HHT196615 HRP196615 IBL196615 ILH196615 IVD196615 JEZ196615 JOV196615 JYR196615 KIN196615 KSJ196615 LCF196615 LMB196615 LVX196615 MFT196615 MPP196615 MZL196615 NJH196615 NTD196615 OCZ196615 OMV196615 OWR196615 PGN196615 PQJ196615 QAF196615 QKB196615 QTX196615 RDT196615 RNP196615 RXL196615 SHH196615 SRD196615 TAZ196615 TKV196615 TUR196615 UEN196615 UOJ196615 UYF196615 VIB196615 VRX196615 WBT196615 WLP196615 WVL196615 D262151 IZ262151 SV262151 ACR262151 AMN262151 AWJ262151 BGF262151 BQB262151 BZX262151 CJT262151 CTP262151 DDL262151 DNH262151 DXD262151 EGZ262151 EQV262151 FAR262151 FKN262151 FUJ262151 GEF262151 GOB262151 GXX262151 HHT262151 HRP262151 IBL262151 ILH262151 IVD262151 JEZ262151 JOV262151 JYR262151 KIN262151 KSJ262151 LCF262151 LMB262151 LVX262151 MFT262151 MPP262151 MZL262151 NJH262151 NTD262151 OCZ262151 OMV262151 OWR262151 PGN262151 PQJ262151 QAF262151 QKB262151 QTX262151 RDT262151 RNP262151 RXL262151 SHH262151 SRD262151 TAZ262151 TKV262151 TUR262151 UEN262151 UOJ262151 UYF262151 VIB262151 VRX262151 WBT262151 WLP262151 WVL262151 D327687 IZ327687 SV327687 ACR327687 AMN327687 AWJ327687 BGF327687 BQB327687 BZX327687 CJT327687 CTP327687 DDL327687 DNH327687 DXD327687 EGZ327687 EQV327687 FAR327687 FKN327687 FUJ327687 GEF327687 GOB327687 GXX327687 HHT327687 HRP327687 IBL327687 ILH327687 IVD327687 JEZ327687 JOV327687 JYR327687 KIN327687 KSJ327687 LCF327687 LMB327687 LVX327687 MFT327687 MPP327687 MZL327687 NJH327687 NTD327687 OCZ327687 OMV327687 OWR327687 PGN327687 PQJ327687 QAF327687 QKB327687 QTX327687 RDT327687 RNP327687 RXL327687 SHH327687 SRD327687 TAZ327687 TKV327687 TUR327687 UEN327687 UOJ327687 UYF327687 VIB327687 VRX327687 WBT327687 WLP327687 WVL327687 D393223 IZ393223 SV393223 ACR393223 AMN393223 AWJ393223 BGF393223 BQB393223 BZX393223 CJT393223 CTP393223 DDL393223 DNH393223 DXD393223 EGZ393223 EQV393223 FAR393223 FKN393223 FUJ393223 GEF393223 GOB393223 GXX393223 HHT393223 HRP393223 IBL393223 ILH393223 IVD393223 JEZ393223 JOV393223 JYR393223 KIN393223 KSJ393223 LCF393223 LMB393223 LVX393223 MFT393223 MPP393223 MZL393223 NJH393223 NTD393223 OCZ393223 OMV393223 OWR393223 PGN393223 PQJ393223 QAF393223 QKB393223 QTX393223 RDT393223 RNP393223 RXL393223 SHH393223 SRD393223 TAZ393223 TKV393223 TUR393223 UEN393223 UOJ393223 UYF393223 VIB393223 VRX393223 WBT393223 WLP393223 WVL393223 D458759 IZ458759 SV458759 ACR458759 AMN458759 AWJ458759 BGF458759 BQB458759 BZX458759 CJT458759 CTP458759 DDL458759 DNH458759 DXD458759 EGZ458759 EQV458759 FAR458759 FKN458759 FUJ458759 GEF458759 GOB458759 GXX458759 HHT458759 HRP458759 IBL458759 ILH458759 IVD458759 JEZ458759 JOV458759 JYR458759 KIN458759 KSJ458759 LCF458759 LMB458759 LVX458759 MFT458759 MPP458759 MZL458759 NJH458759 NTD458759 OCZ458759 OMV458759 OWR458759 PGN458759 PQJ458759 QAF458759 QKB458759 QTX458759 RDT458759 RNP458759 RXL458759 SHH458759 SRD458759 TAZ458759 TKV458759 TUR458759 UEN458759 UOJ458759 UYF458759 VIB458759 VRX458759 WBT458759 WLP458759 WVL458759 D524295 IZ524295 SV524295 ACR524295 AMN524295 AWJ524295 BGF524295 BQB524295 BZX524295 CJT524295 CTP524295 DDL524295 DNH524295 DXD524295 EGZ524295 EQV524295 FAR524295 FKN524295 FUJ524295 GEF524295 GOB524295 GXX524295 HHT524295 HRP524295 IBL524295 ILH524295 IVD524295 JEZ524295 JOV524295 JYR524295 KIN524295 KSJ524295 LCF524295 LMB524295 LVX524295 MFT524295 MPP524295 MZL524295 NJH524295 NTD524295 OCZ524295 OMV524295 OWR524295 PGN524295 PQJ524295 QAF524295 QKB524295 QTX524295 RDT524295 RNP524295 RXL524295 SHH524295 SRD524295 TAZ524295 TKV524295 TUR524295 UEN524295 UOJ524295 UYF524295 VIB524295 VRX524295 WBT524295 WLP524295 WVL524295 D589831 IZ589831 SV589831 ACR589831 AMN589831 AWJ589831 BGF589831 BQB589831 BZX589831 CJT589831 CTP589831 DDL589831 DNH589831 DXD589831 EGZ589831 EQV589831 FAR589831 FKN589831 FUJ589831 GEF589831 GOB589831 GXX589831 HHT589831 HRP589831 IBL589831 ILH589831 IVD589831 JEZ589831 JOV589831 JYR589831 KIN589831 KSJ589831 LCF589831 LMB589831 LVX589831 MFT589831 MPP589831 MZL589831 NJH589831 NTD589831 OCZ589831 OMV589831 OWR589831 PGN589831 PQJ589831 QAF589831 QKB589831 QTX589831 RDT589831 RNP589831 RXL589831 SHH589831 SRD589831 TAZ589831 TKV589831 TUR589831 UEN589831 UOJ589831 UYF589831 VIB589831 VRX589831 WBT589831 WLP589831 WVL589831 D655367 IZ655367 SV655367 ACR655367 AMN655367 AWJ655367 BGF655367 BQB655367 BZX655367 CJT655367 CTP655367 DDL655367 DNH655367 DXD655367 EGZ655367 EQV655367 FAR655367 FKN655367 FUJ655367 GEF655367 GOB655367 GXX655367 HHT655367 HRP655367 IBL655367 ILH655367 IVD655367 JEZ655367 JOV655367 JYR655367 KIN655367 KSJ655367 LCF655367 LMB655367 LVX655367 MFT655367 MPP655367 MZL655367 NJH655367 NTD655367 OCZ655367 OMV655367 OWR655367 PGN655367 PQJ655367 QAF655367 QKB655367 QTX655367 RDT655367 RNP655367 RXL655367 SHH655367 SRD655367 TAZ655367 TKV655367 TUR655367 UEN655367 UOJ655367 UYF655367 VIB655367 VRX655367 WBT655367 WLP655367 WVL655367 D720903 IZ720903 SV720903 ACR720903 AMN720903 AWJ720903 BGF720903 BQB720903 BZX720903 CJT720903 CTP720903 DDL720903 DNH720903 DXD720903 EGZ720903 EQV720903 FAR720903 FKN720903 FUJ720903 GEF720903 GOB720903 GXX720903 HHT720903 HRP720903 IBL720903 ILH720903 IVD720903 JEZ720903 JOV720903 JYR720903 KIN720903 KSJ720903 LCF720903 LMB720903 LVX720903 MFT720903 MPP720903 MZL720903 NJH720903 NTD720903 OCZ720903 OMV720903 OWR720903 PGN720903 PQJ720903 QAF720903 QKB720903 QTX720903 RDT720903 RNP720903 RXL720903 SHH720903 SRD720903 TAZ720903 TKV720903 TUR720903 UEN720903 UOJ720903 UYF720903 VIB720903 VRX720903 WBT720903 WLP720903 WVL720903 D786439 IZ786439 SV786439 ACR786439 AMN786439 AWJ786439 BGF786439 BQB786439 BZX786439 CJT786439 CTP786439 DDL786439 DNH786439 DXD786439 EGZ786439 EQV786439 FAR786439 FKN786439 FUJ786439 GEF786439 GOB786439 GXX786439 HHT786439 HRP786439 IBL786439 ILH786439 IVD786439 JEZ786439 JOV786439 JYR786439 KIN786439 KSJ786439 LCF786439 LMB786439 LVX786439 MFT786439 MPP786439 MZL786439 NJH786439 NTD786439 OCZ786439 OMV786439 OWR786439 PGN786439 PQJ786439 QAF786439 QKB786439 QTX786439 RDT786439 RNP786439 RXL786439 SHH786439 SRD786439 TAZ786439 TKV786439 TUR786439 UEN786439 UOJ786439 UYF786439 VIB786439 VRX786439 WBT786439 WLP786439 WVL786439 D851975 IZ851975 SV851975 ACR851975 AMN851975 AWJ851975 BGF851975 BQB851975 BZX851975 CJT851975 CTP851975 DDL851975 DNH851975 DXD851975 EGZ851975 EQV851975 FAR851975 FKN851975 FUJ851975 GEF851975 GOB851975 GXX851975 HHT851975 HRP851975 IBL851975 ILH851975 IVD851975 JEZ851975 JOV851975 JYR851975 KIN851975 KSJ851975 LCF851975 LMB851975 LVX851975 MFT851975 MPP851975 MZL851975 NJH851975 NTD851975 OCZ851975 OMV851975 OWR851975 PGN851975 PQJ851975 QAF851975 QKB851975 QTX851975 RDT851975 RNP851975 RXL851975 SHH851975 SRD851975 TAZ851975 TKV851975 TUR851975 UEN851975 UOJ851975 UYF851975 VIB851975 VRX851975 WBT851975 WLP851975 WVL851975 D917511 IZ917511 SV917511 ACR917511 AMN917511 AWJ917511 BGF917511 BQB917511 BZX917511 CJT917511 CTP917511 DDL917511 DNH917511 DXD917511 EGZ917511 EQV917511 FAR917511 FKN917511 FUJ917511 GEF917511 GOB917511 GXX917511 HHT917511 HRP917511 IBL917511 ILH917511 IVD917511 JEZ917511 JOV917511 JYR917511 KIN917511 KSJ917511 LCF917511 LMB917511 LVX917511 MFT917511 MPP917511 MZL917511 NJH917511 NTD917511 OCZ917511 OMV917511 OWR917511 PGN917511 PQJ917511 QAF917511 QKB917511 QTX917511 RDT917511 RNP917511 RXL917511 SHH917511 SRD917511 TAZ917511 TKV917511 TUR917511 UEN917511 UOJ917511 UYF917511 VIB917511 VRX917511 WBT917511 WLP917511 WVL917511 D983047 IZ983047 SV983047 ACR983047 AMN983047 AWJ983047 BGF983047 BQB983047 BZX983047 CJT983047 CTP983047 DDL983047 DNH983047 DXD983047 EGZ983047 EQV983047 FAR983047 FKN983047 FUJ983047 GEF983047 GOB983047 GXX983047 HHT983047 HRP983047 IBL983047 ILH983047 IVD983047 JEZ983047 JOV983047 JYR983047 KIN983047 KSJ983047 LCF983047 LMB983047 LVX983047 MFT983047 MPP983047 MZL983047 NJH983047 NTD983047 OCZ983047 OMV983047 OWR983047 PGN983047 PQJ983047 QAF983047 QKB983047 QTX983047 RDT983047 RNP983047 RXL983047 SHH983047 SRD983047 TAZ983047 TKV983047 TUR983047 UEN983047 UOJ983047 UYF983047 VIB983047 VRX983047 WBT983047 WLP983047 WVL983047" xr:uid="{D773783B-6013-4693-8EBA-48EFB91759B0}">
      <formula1>"6,8,10,12,16,20,25"</formula1>
    </dataValidation>
    <dataValidation type="list" showInputMessage="1" showErrorMessage="1" sqref="D8 IZ8 SV8 ACR8 AMN8 AWJ8 BGF8 BQB8 BZX8 CJT8 CTP8 DDL8 DNH8 DXD8 EGZ8 EQV8 FAR8 FKN8 FUJ8 GEF8 GOB8 GXX8 HHT8 HRP8 IBL8 ILH8 IVD8 JEZ8 JOV8 JYR8 KIN8 KSJ8 LCF8 LMB8 LVX8 MFT8 MPP8 MZL8 NJH8 NTD8 OCZ8 OMV8 OWR8 PGN8 PQJ8 QAF8 QKB8 QTX8 RDT8 RNP8 RXL8 SHH8 SRD8 TAZ8 TKV8 TUR8 UEN8 UOJ8 UYF8 VIB8 VRX8 WBT8 WLP8 WVL8 D65544 IZ65544 SV65544 ACR65544 AMN65544 AWJ65544 BGF65544 BQB65544 BZX65544 CJT65544 CTP65544 DDL65544 DNH65544 DXD65544 EGZ65544 EQV65544 FAR65544 FKN65544 FUJ65544 GEF65544 GOB65544 GXX65544 HHT65544 HRP65544 IBL65544 ILH65544 IVD65544 JEZ65544 JOV65544 JYR65544 KIN65544 KSJ65544 LCF65544 LMB65544 LVX65544 MFT65544 MPP65544 MZL65544 NJH65544 NTD65544 OCZ65544 OMV65544 OWR65544 PGN65544 PQJ65544 QAF65544 QKB65544 QTX65544 RDT65544 RNP65544 RXL65544 SHH65544 SRD65544 TAZ65544 TKV65544 TUR65544 UEN65544 UOJ65544 UYF65544 VIB65544 VRX65544 WBT65544 WLP65544 WVL65544 D131080 IZ131080 SV131080 ACR131080 AMN131080 AWJ131080 BGF131080 BQB131080 BZX131080 CJT131080 CTP131080 DDL131080 DNH131080 DXD131080 EGZ131080 EQV131080 FAR131080 FKN131080 FUJ131080 GEF131080 GOB131080 GXX131080 HHT131080 HRP131080 IBL131080 ILH131080 IVD131080 JEZ131080 JOV131080 JYR131080 KIN131080 KSJ131080 LCF131080 LMB131080 LVX131080 MFT131080 MPP131080 MZL131080 NJH131080 NTD131080 OCZ131080 OMV131080 OWR131080 PGN131080 PQJ131080 QAF131080 QKB131080 QTX131080 RDT131080 RNP131080 RXL131080 SHH131080 SRD131080 TAZ131080 TKV131080 TUR131080 UEN131080 UOJ131080 UYF131080 VIB131080 VRX131080 WBT131080 WLP131080 WVL131080 D196616 IZ196616 SV196616 ACR196616 AMN196616 AWJ196616 BGF196616 BQB196616 BZX196616 CJT196616 CTP196616 DDL196616 DNH196616 DXD196616 EGZ196616 EQV196616 FAR196616 FKN196616 FUJ196616 GEF196616 GOB196616 GXX196616 HHT196616 HRP196616 IBL196616 ILH196616 IVD196616 JEZ196616 JOV196616 JYR196616 KIN196616 KSJ196616 LCF196616 LMB196616 LVX196616 MFT196616 MPP196616 MZL196616 NJH196616 NTD196616 OCZ196616 OMV196616 OWR196616 PGN196616 PQJ196616 QAF196616 QKB196616 QTX196616 RDT196616 RNP196616 RXL196616 SHH196616 SRD196616 TAZ196616 TKV196616 TUR196616 UEN196616 UOJ196616 UYF196616 VIB196616 VRX196616 WBT196616 WLP196616 WVL196616 D262152 IZ262152 SV262152 ACR262152 AMN262152 AWJ262152 BGF262152 BQB262152 BZX262152 CJT262152 CTP262152 DDL262152 DNH262152 DXD262152 EGZ262152 EQV262152 FAR262152 FKN262152 FUJ262152 GEF262152 GOB262152 GXX262152 HHT262152 HRP262152 IBL262152 ILH262152 IVD262152 JEZ262152 JOV262152 JYR262152 KIN262152 KSJ262152 LCF262152 LMB262152 LVX262152 MFT262152 MPP262152 MZL262152 NJH262152 NTD262152 OCZ262152 OMV262152 OWR262152 PGN262152 PQJ262152 QAF262152 QKB262152 QTX262152 RDT262152 RNP262152 RXL262152 SHH262152 SRD262152 TAZ262152 TKV262152 TUR262152 UEN262152 UOJ262152 UYF262152 VIB262152 VRX262152 WBT262152 WLP262152 WVL262152 D327688 IZ327688 SV327688 ACR327688 AMN327688 AWJ327688 BGF327688 BQB327688 BZX327688 CJT327688 CTP327688 DDL327688 DNH327688 DXD327688 EGZ327688 EQV327688 FAR327688 FKN327688 FUJ327688 GEF327688 GOB327688 GXX327688 HHT327688 HRP327688 IBL327688 ILH327688 IVD327688 JEZ327688 JOV327688 JYR327688 KIN327688 KSJ327688 LCF327688 LMB327688 LVX327688 MFT327688 MPP327688 MZL327688 NJH327688 NTD327688 OCZ327688 OMV327688 OWR327688 PGN327688 PQJ327688 QAF327688 QKB327688 QTX327688 RDT327688 RNP327688 RXL327688 SHH327688 SRD327688 TAZ327688 TKV327688 TUR327688 UEN327688 UOJ327688 UYF327688 VIB327688 VRX327688 WBT327688 WLP327688 WVL327688 D393224 IZ393224 SV393224 ACR393224 AMN393224 AWJ393224 BGF393224 BQB393224 BZX393224 CJT393224 CTP393224 DDL393224 DNH393224 DXD393224 EGZ393224 EQV393224 FAR393224 FKN393224 FUJ393224 GEF393224 GOB393224 GXX393224 HHT393224 HRP393224 IBL393224 ILH393224 IVD393224 JEZ393224 JOV393224 JYR393224 KIN393224 KSJ393224 LCF393224 LMB393224 LVX393224 MFT393224 MPP393224 MZL393224 NJH393224 NTD393224 OCZ393224 OMV393224 OWR393224 PGN393224 PQJ393224 QAF393224 QKB393224 QTX393224 RDT393224 RNP393224 RXL393224 SHH393224 SRD393224 TAZ393224 TKV393224 TUR393224 UEN393224 UOJ393224 UYF393224 VIB393224 VRX393224 WBT393224 WLP393224 WVL393224 D458760 IZ458760 SV458760 ACR458760 AMN458760 AWJ458760 BGF458760 BQB458760 BZX458760 CJT458760 CTP458760 DDL458760 DNH458760 DXD458760 EGZ458760 EQV458760 FAR458760 FKN458760 FUJ458760 GEF458760 GOB458760 GXX458760 HHT458760 HRP458760 IBL458760 ILH458760 IVD458760 JEZ458760 JOV458760 JYR458760 KIN458760 KSJ458760 LCF458760 LMB458760 LVX458760 MFT458760 MPP458760 MZL458760 NJH458760 NTD458760 OCZ458760 OMV458760 OWR458760 PGN458760 PQJ458760 QAF458760 QKB458760 QTX458760 RDT458760 RNP458760 RXL458760 SHH458760 SRD458760 TAZ458760 TKV458760 TUR458760 UEN458760 UOJ458760 UYF458760 VIB458760 VRX458760 WBT458760 WLP458760 WVL458760 D524296 IZ524296 SV524296 ACR524296 AMN524296 AWJ524296 BGF524296 BQB524296 BZX524296 CJT524296 CTP524296 DDL524296 DNH524296 DXD524296 EGZ524296 EQV524296 FAR524296 FKN524296 FUJ524296 GEF524296 GOB524296 GXX524296 HHT524296 HRP524296 IBL524296 ILH524296 IVD524296 JEZ524296 JOV524296 JYR524296 KIN524296 KSJ524296 LCF524296 LMB524296 LVX524296 MFT524296 MPP524296 MZL524296 NJH524296 NTD524296 OCZ524296 OMV524296 OWR524296 PGN524296 PQJ524296 QAF524296 QKB524296 QTX524296 RDT524296 RNP524296 RXL524296 SHH524296 SRD524296 TAZ524296 TKV524296 TUR524296 UEN524296 UOJ524296 UYF524296 VIB524296 VRX524296 WBT524296 WLP524296 WVL524296 D589832 IZ589832 SV589832 ACR589832 AMN589832 AWJ589832 BGF589832 BQB589832 BZX589832 CJT589832 CTP589832 DDL589832 DNH589832 DXD589832 EGZ589832 EQV589832 FAR589832 FKN589832 FUJ589832 GEF589832 GOB589832 GXX589832 HHT589832 HRP589832 IBL589832 ILH589832 IVD589832 JEZ589832 JOV589832 JYR589832 KIN589832 KSJ589832 LCF589832 LMB589832 LVX589832 MFT589832 MPP589832 MZL589832 NJH589832 NTD589832 OCZ589832 OMV589832 OWR589832 PGN589832 PQJ589832 QAF589832 QKB589832 QTX589832 RDT589832 RNP589832 RXL589832 SHH589832 SRD589832 TAZ589832 TKV589832 TUR589832 UEN589832 UOJ589832 UYF589832 VIB589832 VRX589832 WBT589832 WLP589832 WVL589832 D655368 IZ655368 SV655368 ACR655368 AMN655368 AWJ655368 BGF655368 BQB655368 BZX655368 CJT655368 CTP655368 DDL655368 DNH655368 DXD655368 EGZ655368 EQV655368 FAR655368 FKN655368 FUJ655368 GEF655368 GOB655368 GXX655368 HHT655368 HRP655368 IBL655368 ILH655368 IVD655368 JEZ655368 JOV655368 JYR655368 KIN655368 KSJ655368 LCF655368 LMB655368 LVX655368 MFT655368 MPP655368 MZL655368 NJH655368 NTD655368 OCZ655368 OMV655368 OWR655368 PGN655368 PQJ655368 QAF655368 QKB655368 QTX655368 RDT655368 RNP655368 RXL655368 SHH655368 SRD655368 TAZ655368 TKV655368 TUR655368 UEN655368 UOJ655368 UYF655368 VIB655368 VRX655368 WBT655368 WLP655368 WVL655368 D720904 IZ720904 SV720904 ACR720904 AMN720904 AWJ720904 BGF720904 BQB720904 BZX720904 CJT720904 CTP720904 DDL720904 DNH720904 DXD720904 EGZ720904 EQV720904 FAR720904 FKN720904 FUJ720904 GEF720904 GOB720904 GXX720904 HHT720904 HRP720904 IBL720904 ILH720904 IVD720904 JEZ720904 JOV720904 JYR720904 KIN720904 KSJ720904 LCF720904 LMB720904 LVX720904 MFT720904 MPP720904 MZL720904 NJH720904 NTD720904 OCZ720904 OMV720904 OWR720904 PGN720904 PQJ720904 QAF720904 QKB720904 QTX720904 RDT720904 RNP720904 RXL720904 SHH720904 SRD720904 TAZ720904 TKV720904 TUR720904 UEN720904 UOJ720904 UYF720904 VIB720904 VRX720904 WBT720904 WLP720904 WVL720904 D786440 IZ786440 SV786440 ACR786440 AMN786440 AWJ786440 BGF786440 BQB786440 BZX786440 CJT786440 CTP786440 DDL786440 DNH786440 DXD786440 EGZ786440 EQV786440 FAR786440 FKN786440 FUJ786440 GEF786440 GOB786440 GXX786440 HHT786440 HRP786440 IBL786440 ILH786440 IVD786440 JEZ786440 JOV786440 JYR786440 KIN786440 KSJ786440 LCF786440 LMB786440 LVX786440 MFT786440 MPP786440 MZL786440 NJH786440 NTD786440 OCZ786440 OMV786440 OWR786440 PGN786440 PQJ786440 QAF786440 QKB786440 QTX786440 RDT786440 RNP786440 RXL786440 SHH786440 SRD786440 TAZ786440 TKV786440 TUR786440 UEN786440 UOJ786440 UYF786440 VIB786440 VRX786440 WBT786440 WLP786440 WVL786440 D851976 IZ851976 SV851976 ACR851976 AMN851976 AWJ851976 BGF851976 BQB851976 BZX851976 CJT851976 CTP851976 DDL851976 DNH851976 DXD851976 EGZ851976 EQV851976 FAR851976 FKN851976 FUJ851976 GEF851976 GOB851976 GXX851976 HHT851976 HRP851976 IBL851976 ILH851976 IVD851976 JEZ851976 JOV851976 JYR851976 KIN851976 KSJ851976 LCF851976 LMB851976 LVX851976 MFT851976 MPP851976 MZL851976 NJH851976 NTD851976 OCZ851976 OMV851976 OWR851976 PGN851976 PQJ851976 QAF851976 QKB851976 QTX851976 RDT851976 RNP851976 RXL851976 SHH851976 SRD851976 TAZ851976 TKV851976 TUR851976 UEN851976 UOJ851976 UYF851976 VIB851976 VRX851976 WBT851976 WLP851976 WVL851976 D917512 IZ917512 SV917512 ACR917512 AMN917512 AWJ917512 BGF917512 BQB917512 BZX917512 CJT917512 CTP917512 DDL917512 DNH917512 DXD917512 EGZ917512 EQV917512 FAR917512 FKN917512 FUJ917512 GEF917512 GOB917512 GXX917512 HHT917512 HRP917512 IBL917512 ILH917512 IVD917512 JEZ917512 JOV917512 JYR917512 KIN917512 KSJ917512 LCF917512 LMB917512 LVX917512 MFT917512 MPP917512 MZL917512 NJH917512 NTD917512 OCZ917512 OMV917512 OWR917512 PGN917512 PQJ917512 QAF917512 QKB917512 QTX917512 RDT917512 RNP917512 RXL917512 SHH917512 SRD917512 TAZ917512 TKV917512 TUR917512 UEN917512 UOJ917512 UYF917512 VIB917512 VRX917512 WBT917512 WLP917512 WVL917512 D983048 IZ983048 SV983048 ACR983048 AMN983048 AWJ983048 BGF983048 BQB983048 BZX983048 CJT983048 CTP983048 DDL983048 DNH983048 DXD983048 EGZ983048 EQV983048 FAR983048 FKN983048 FUJ983048 GEF983048 GOB983048 GXX983048 HHT983048 HRP983048 IBL983048 ILH983048 IVD983048 JEZ983048 JOV983048 JYR983048 KIN983048 KSJ983048 LCF983048 LMB983048 LVX983048 MFT983048 MPP983048 MZL983048 NJH983048 NTD983048 OCZ983048 OMV983048 OWR983048 PGN983048 PQJ983048 QAF983048 QKB983048 QTX983048 RDT983048 RNP983048 RXL983048 SHH983048 SRD983048 TAZ983048 TKV983048 TUR983048 UEN983048 UOJ983048 UYF983048 VIB983048 VRX983048 WBT983048 WLP983048 WVL983048" xr:uid="{D3266706-DBB1-4221-B072-FA00CACFBC0A}">
      <formula1>"6,8,10,12,14,16,20,25"</formula1>
    </dataValidation>
    <dataValidation type="list" allowBlank="1" showInputMessage="1" showErrorMessage="1" sqref="H29 JD29 SZ29 ACV29 AMR29 AWN29 BGJ29 BQF29 CAB29 CJX29 CTT29 DDP29 DNL29 DXH29 EHD29 EQZ29 FAV29 FKR29 FUN29 GEJ29 GOF29 GYB29 HHX29 HRT29 IBP29 ILL29 IVH29 JFD29 JOZ29 JYV29 KIR29 KSN29 LCJ29 LMF29 LWB29 MFX29 MPT29 MZP29 NJL29 NTH29 ODD29 OMZ29 OWV29 PGR29 PQN29 QAJ29 QKF29 QUB29 RDX29 RNT29 RXP29 SHL29 SRH29 TBD29 TKZ29 TUV29 UER29 UON29 UYJ29 VIF29 VSB29 WBX29 WLT29 WVP29 H65565 JD65565 SZ65565 ACV65565 AMR65565 AWN65565 BGJ65565 BQF65565 CAB65565 CJX65565 CTT65565 DDP65565 DNL65565 DXH65565 EHD65565 EQZ65565 FAV65565 FKR65565 FUN65565 GEJ65565 GOF65565 GYB65565 HHX65565 HRT65565 IBP65565 ILL65565 IVH65565 JFD65565 JOZ65565 JYV65565 KIR65565 KSN65565 LCJ65565 LMF65565 LWB65565 MFX65565 MPT65565 MZP65565 NJL65565 NTH65565 ODD65565 OMZ65565 OWV65565 PGR65565 PQN65565 QAJ65565 QKF65565 QUB65565 RDX65565 RNT65565 RXP65565 SHL65565 SRH65565 TBD65565 TKZ65565 TUV65565 UER65565 UON65565 UYJ65565 VIF65565 VSB65565 WBX65565 WLT65565 WVP65565 H131101 JD131101 SZ131101 ACV131101 AMR131101 AWN131101 BGJ131101 BQF131101 CAB131101 CJX131101 CTT131101 DDP131101 DNL131101 DXH131101 EHD131101 EQZ131101 FAV131101 FKR131101 FUN131101 GEJ131101 GOF131101 GYB131101 HHX131101 HRT131101 IBP131101 ILL131101 IVH131101 JFD131101 JOZ131101 JYV131101 KIR131101 KSN131101 LCJ131101 LMF131101 LWB131101 MFX131101 MPT131101 MZP131101 NJL131101 NTH131101 ODD131101 OMZ131101 OWV131101 PGR131101 PQN131101 QAJ131101 QKF131101 QUB131101 RDX131101 RNT131101 RXP131101 SHL131101 SRH131101 TBD131101 TKZ131101 TUV131101 UER131101 UON131101 UYJ131101 VIF131101 VSB131101 WBX131101 WLT131101 WVP131101 H196637 JD196637 SZ196637 ACV196637 AMR196637 AWN196637 BGJ196637 BQF196637 CAB196637 CJX196637 CTT196637 DDP196637 DNL196637 DXH196637 EHD196637 EQZ196637 FAV196637 FKR196637 FUN196637 GEJ196637 GOF196637 GYB196637 HHX196637 HRT196637 IBP196637 ILL196637 IVH196637 JFD196637 JOZ196637 JYV196637 KIR196637 KSN196637 LCJ196637 LMF196637 LWB196637 MFX196637 MPT196637 MZP196637 NJL196637 NTH196637 ODD196637 OMZ196637 OWV196637 PGR196637 PQN196637 QAJ196637 QKF196637 QUB196637 RDX196637 RNT196637 RXP196637 SHL196637 SRH196637 TBD196637 TKZ196637 TUV196637 UER196637 UON196637 UYJ196637 VIF196637 VSB196637 WBX196637 WLT196637 WVP196637 H262173 JD262173 SZ262173 ACV262173 AMR262173 AWN262173 BGJ262173 BQF262173 CAB262173 CJX262173 CTT262173 DDP262173 DNL262173 DXH262173 EHD262173 EQZ262173 FAV262173 FKR262173 FUN262173 GEJ262173 GOF262173 GYB262173 HHX262173 HRT262173 IBP262173 ILL262173 IVH262173 JFD262173 JOZ262173 JYV262173 KIR262173 KSN262173 LCJ262173 LMF262173 LWB262173 MFX262173 MPT262173 MZP262173 NJL262173 NTH262173 ODD262173 OMZ262173 OWV262173 PGR262173 PQN262173 QAJ262173 QKF262173 QUB262173 RDX262173 RNT262173 RXP262173 SHL262173 SRH262173 TBD262173 TKZ262173 TUV262173 UER262173 UON262173 UYJ262173 VIF262173 VSB262173 WBX262173 WLT262173 WVP262173 H327709 JD327709 SZ327709 ACV327709 AMR327709 AWN327709 BGJ327709 BQF327709 CAB327709 CJX327709 CTT327709 DDP327709 DNL327709 DXH327709 EHD327709 EQZ327709 FAV327709 FKR327709 FUN327709 GEJ327709 GOF327709 GYB327709 HHX327709 HRT327709 IBP327709 ILL327709 IVH327709 JFD327709 JOZ327709 JYV327709 KIR327709 KSN327709 LCJ327709 LMF327709 LWB327709 MFX327709 MPT327709 MZP327709 NJL327709 NTH327709 ODD327709 OMZ327709 OWV327709 PGR327709 PQN327709 QAJ327709 QKF327709 QUB327709 RDX327709 RNT327709 RXP327709 SHL327709 SRH327709 TBD327709 TKZ327709 TUV327709 UER327709 UON327709 UYJ327709 VIF327709 VSB327709 WBX327709 WLT327709 WVP327709 H393245 JD393245 SZ393245 ACV393245 AMR393245 AWN393245 BGJ393245 BQF393245 CAB393245 CJX393245 CTT393245 DDP393245 DNL393245 DXH393245 EHD393245 EQZ393245 FAV393245 FKR393245 FUN393245 GEJ393245 GOF393245 GYB393245 HHX393245 HRT393245 IBP393245 ILL393245 IVH393245 JFD393245 JOZ393245 JYV393245 KIR393245 KSN393245 LCJ393245 LMF393245 LWB393245 MFX393245 MPT393245 MZP393245 NJL393245 NTH393245 ODD393245 OMZ393245 OWV393245 PGR393245 PQN393245 QAJ393245 QKF393245 QUB393245 RDX393245 RNT393245 RXP393245 SHL393245 SRH393245 TBD393245 TKZ393245 TUV393245 UER393245 UON393245 UYJ393245 VIF393245 VSB393245 WBX393245 WLT393245 WVP393245 H458781 JD458781 SZ458781 ACV458781 AMR458781 AWN458781 BGJ458781 BQF458781 CAB458781 CJX458781 CTT458781 DDP458781 DNL458781 DXH458781 EHD458781 EQZ458781 FAV458781 FKR458781 FUN458781 GEJ458781 GOF458781 GYB458781 HHX458781 HRT458781 IBP458781 ILL458781 IVH458781 JFD458781 JOZ458781 JYV458781 KIR458781 KSN458781 LCJ458781 LMF458781 LWB458781 MFX458781 MPT458781 MZP458781 NJL458781 NTH458781 ODD458781 OMZ458781 OWV458781 PGR458781 PQN458781 QAJ458781 QKF458781 QUB458781 RDX458781 RNT458781 RXP458781 SHL458781 SRH458781 TBD458781 TKZ458781 TUV458781 UER458781 UON458781 UYJ458781 VIF458781 VSB458781 WBX458781 WLT458781 WVP458781 H524317 JD524317 SZ524317 ACV524317 AMR524317 AWN524317 BGJ524317 BQF524317 CAB524317 CJX524317 CTT524317 DDP524317 DNL524317 DXH524317 EHD524317 EQZ524317 FAV524317 FKR524317 FUN524317 GEJ524317 GOF524317 GYB524317 HHX524317 HRT524317 IBP524317 ILL524317 IVH524317 JFD524317 JOZ524317 JYV524317 KIR524317 KSN524317 LCJ524317 LMF524317 LWB524317 MFX524317 MPT524317 MZP524317 NJL524317 NTH524317 ODD524317 OMZ524317 OWV524317 PGR524317 PQN524317 QAJ524317 QKF524317 QUB524317 RDX524317 RNT524317 RXP524317 SHL524317 SRH524317 TBD524317 TKZ524317 TUV524317 UER524317 UON524317 UYJ524317 VIF524317 VSB524317 WBX524317 WLT524317 WVP524317 H589853 JD589853 SZ589853 ACV589853 AMR589853 AWN589853 BGJ589853 BQF589853 CAB589853 CJX589853 CTT589853 DDP589853 DNL589853 DXH589853 EHD589853 EQZ589853 FAV589853 FKR589853 FUN589853 GEJ589853 GOF589853 GYB589853 HHX589853 HRT589853 IBP589853 ILL589853 IVH589853 JFD589853 JOZ589853 JYV589853 KIR589853 KSN589853 LCJ589853 LMF589853 LWB589853 MFX589853 MPT589853 MZP589853 NJL589853 NTH589853 ODD589853 OMZ589853 OWV589853 PGR589853 PQN589853 QAJ589853 QKF589853 QUB589853 RDX589853 RNT589853 RXP589853 SHL589853 SRH589853 TBD589853 TKZ589853 TUV589853 UER589853 UON589853 UYJ589853 VIF589853 VSB589853 WBX589853 WLT589853 WVP589853 H655389 JD655389 SZ655389 ACV655389 AMR655389 AWN655389 BGJ655389 BQF655389 CAB655389 CJX655389 CTT655389 DDP655389 DNL655389 DXH655389 EHD655389 EQZ655389 FAV655389 FKR655389 FUN655389 GEJ655389 GOF655389 GYB655389 HHX655389 HRT655389 IBP655389 ILL655389 IVH655389 JFD655389 JOZ655389 JYV655389 KIR655389 KSN655389 LCJ655389 LMF655389 LWB655389 MFX655389 MPT655389 MZP655389 NJL655389 NTH655389 ODD655389 OMZ655389 OWV655389 PGR655389 PQN655389 QAJ655389 QKF655389 QUB655389 RDX655389 RNT655389 RXP655389 SHL655389 SRH655389 TBD655389 TKZ655389 TUV655389 UER655389 UON655389 UYJ655389 VIF655389 VSB655389 WBX655389 WLT655389 WVP655389 H720925 JD720925 SZ720925 ACV720925 AMR720925 AWN720925 BGJ720925 BQF720925 CAB720925 CJX720925 CTT720925 DDP720925 DNL720925 DXH720925 EHD720925 EQZ720925 FAV720925 FKR720925 FUN720925 GEJ720925 GOF720925 GYB720925 HHX720925 HRT720925 IBP720925 ILL720925 IVH720925 JFD720925 JOZ720925 JYV720925 KIR720925 KSN720925 LCJ720925 LMF720925 LWB720925 MFX720925 MPT720925 MZP720925 NJL720925 NTH720925 ODD720925 OMZ720925 OWV720925 PGR720925 PQN720925 QAJ720925 QKF720925 QUB720925 RDX720925 RNT720925 RXP720925 SHL720925 SRH720925 TBD720925 TKZ720925 TUV720925 UER720925 UON720925 UYJ720925 VIF720925 VSB720925 WBX720925 WLT720925 WVP720925 H786461 JD786461 SZ786461 ACV786461 AMR786461 AWN786461 BGJ786461 BQF786461 CAB786461 CJX786461 CTT786461 DDP786461 DNL786461 DXH786461 EHD786461 EQZ786461 FAV786461 FKR786461 FUN786461 GEJ786461 GOF786461 GYB786461 HHX786461 HRT786461 IBP786461 ILL786461 IVH786461 JFD786461 JOZ786461 JYV786461 KIR786461 KSN786461 LCJ786461 LMF786461 LWB786461 MFX786461 MPT786461 MZP786461 NJL786461 NTH786461 ODD786461 OMZ786461 OWV786461 PGR786461 PQN786461 QAJ786461 QKF786461 QUB786461 RDX786461 RNT786461 RXP786461 SHL786461 SRH786461 TBD786461 TKZ786461 TUV786461 UER786461 UON786461 UYJ786461 VIF786461 VSB786461 WBX786461 WLT786461 WVP786461 H851997 JD851997 SZ851997 ACV851997 AMR851997 AWN851997 BGJ851997 BQF851997 CAB851997 CJX851997 CTT851997 DDP851997 DNL851997 DXH851997 EHD851997 EQZ851997 FAV851997 FKR851997 FUN851997 GEJ851997 GOF851997 GYB851997 HHX851997 HRT851997 IBP851997 ILL851997 IVH851997 JFD851997 JOZ851997 JYV851997 KIR851997 KSN851997 LCJ851997 LMF851997 LWB851997 MFX851997 MPT851997 MZP851997 NJL851997 NTH851997 ODD851997 OMZ851997 OWV851997 PGR851997 PQN851997 QAJ851997 QKF851997 QUB851997 RDX851997 RNT851997 RXP851997 SHL851997 SRH851997 TBD851997 TKZ851997 TUV851997 UER851997 UON851997 UYJ851997 VIF851997 VSB851997 WBX851997 WLT851997 WVP851997 H917533 JD917533 SZ917533 ACV917533 AMR917533 AWN917533 BGJ917533 BQF917533 CAB917533 CJX917533 CTT917533 DDP917533 DNL917533 DXH917533 EHD917533 EQZ917533 FAV917533 FKR917533 FUN917533 GEJ917533 GOF917533 GYB917533 HHX917533 HRT917533 IBP917533 ILL917533 IVH917533 JFD917533 JOZ917533 JYV917533 KIR917533 KSN917533 LCJ917533 LMF917533 LWB917533 MFX917533 MPT917533 MZP917533 NJL917533 NTH917533 ODD917533 OMZ917533 OWV917533 PGR917533 PQN917533 QAJ917533 QKF917533 QUB917533 RDX917533 RNT917533 RXP917533 SHL917533 SRH917533 TBD917533 TKZ917533 TUV917533 UER917533 UON917533 UYJ917533 VIF917533 VSB917533 WBX917533 WLT917533 WVP917533 H983069 JD983069 SZ983069 ACV983069 AMR983069 AWN983069 BGJ983069 BQF983069 CAB983069 CJX983069 CTT983069 DDP983069 DNL983069 DXH983069 EHD983069 EQZ983069 FAV983069 FKR983069 FUN983069 GEJ983069 GOF983069 GYB983069 HHX983069 HRT983069 IBP983069 ILL983069 IVH983069 JFD983069 JOZ983069 JYV983069 KIR983069 KSN983069 LCJ983069 LMF983069 LWB983069 MFX983069 MPT983069 MZP983069 NJL983069 NTH983069 ODD983069 OMZ983069 OWV983069 PGR983069 PQN983069 QAJ983069 QKF983069 QUB983069 RDX983069 RNT983069 RXP983069 SHL983069 SRH983069 TBD983069 TKZ983069 TUV983069 UER983069 UON983069 UYJ983069 VIF983069 VSB983069 WBX983069 WLT983069 WVP983069" xr:uid="{CE5A9959-9316-41A2-BF52-B7A9BA82118C}">
      <formula1>"6,8,10,12,14,16,20,25"</formula1>
    </dataValidation>
    <dataValidation type="whole" allowBlank="1" showInputMessage="1" showErrorMessage="1" sqref="H28 JD28 SZ28 ACV28 AMR28 AWN28 BGJ28 BQF28 CAB28 CJX28 CTT28 DDP28 DNL28 DXH28 EHD28 EQZ28 FAV28 FKR28 FUN28 GEJ28 GOF28 GYB28 HHX28 HRT28 IBP28 ILL28 IVH28 JFD28 JOZ28 JYV28 KIR28 KSN28 LCJ28 LMF28 LWB28 MFX28 MPT28 MZP28 NJL28 NTH28 ODD28 OMZ28 OWV28 PGR28 PQN28 QAJ28 QKF28 QUB28 RDX28 RNT28 RXP28 SHL28 SRH28 TBD28 TKZ28 TUV28 UER28 UON28 UYJ28 VIF28 VSB28 WBX28 WLT28 WVP28 H65564 JD65564 SZ65564 ACV65564 AMR65564 AWN65564 BGJ65564 BQF65564 CAB65564 CJX65564 CTT65564 DDP65564 DNL65564 DXH65564 EHD65564 EQZ65564 FAV65564 FKR65564 FUN65564 GEJ65564 GOF65564 GYB65564 HHX65564 HRT65564 IBP65564 ILL65564 IVH65564 JFD65564 JOZ65564 JYV65564 KIR65564 KSN65564 LCJ65564 LMF65564 LWB65564 MFX65564 MPT65564 MZP65564 NJL65564 NTH65564 ODD65564 OMZ65564 OWV65564 PGR65564 PQN65564 QAJ65564 QKF65564 QUB65564 RDX65564 RNT65564 RXP65564 SHL65564 SRH65564 TBD65564 TKZ65564 TUV65564 UER65564 UON65564 UYJ65564 VIF65564 VSB65564 WBX65564 WLT65564 WVP65564 H131100 JD131100 SZ131100 ACV131100 AMR131100 AWN131100 BGJ131100 BQF131100 CAB131100 CJX131100 CTT131100 DDP131100 DNL131100 DXH131100 EHD131100 EQZ131100 FAV131100 FKR131100 FUN131100 GEJ131100 GOF131100 GYB131100 HHX131100 HRT131100 IBP131100 ILL131100 IVH131100 JFD131100 JOZ131100 JYV131100 KIR131100 KSN131100 LCJ131100 LMF131100 LWB131100 MFX131100 MPT131100 MZP131100 NJL131100 NTH131100 ODD131100 OMZ131100 OWV131100 PGR131100 PQN131100 QAJ131100 QKF131100 QUB131100 RDX131100 RNT131100 RXP131100 SHL131100 SRH131100 TBD131100 TKZ131100 TUV131100 UER131100 UON131100 UYJ131100 VIF131100 VSB131100 WBX131100 WLT131100 WVP131100 H196636 JD196636 SZ196636 ACV196636 AMR196636 AWN196636 BGJ196636 BQF196636 CAB196636 CJX196636 CTT196636 DDP196636 DNL196636 DXH196636 EHD196636 EQZ196636 FAV196636 FKR196636 FUN196636 GEJ196636 GOF196636 GYB196636 HHX196636 HRT196636 IBP196636 ILL196636 IVH196636 JFD196636 JOZ196636 JYV196636 KIR196636 KSN196636 LCJ196636 LMF196636 LWB196636 MFX196636 MPT196636 MZP196636 NJL196636 NTH196636 ODD196636 OMZ196636 OWV196636 PGR196636 PQN196636 QAJ196636 QKF196636 QUB196636 RDX196636 RNT196636 RXP196636 SHL196636 SRH196636 TBD196636 TKZ196636 TUV196636 UER196636 UON196636 UYJ196636 VIF196636 VSB196636 WBX196636 WLT196636 WVP196636 H262172 JD262172 SZ262172 ACV262172 AMR262172 AWN262172 BGJ262172 BQF262172 CAB262172 CJX262172 CTT262172 DDP262172 DNL262172 DXH262172 EHD262172 EQZ262172 FAV262172 FKR262172 FUN262172 GEJ262172 GOF262172 GYB262172 HHX262172 HRT262172 IBP262172 ILL262172 IVH262172 JFD262172 JOZ262172 JYV262172 KIR262172 KSN262172 LCJ262172 LMF262172 LWB262172 MFX262172 MPT262172 MZP262172 NJL262172 NTH262172 ODD262172 OMZ262172 OWV262172 PGR262172 PQN262172 QAJ262172 QKF262172 QUB262172 RDX262172 RNT262172 RXP262172 SHL262172 SRH262172 TBD262172 TKZ262172 TUV262172 UER262172 UON262172 UYJ262172 VIF262172 VSB262172 WBX262172 WLT262172 WVP262172 H327708 JD327708 SZ327708 ACV327708 AMR327708 AWN327708 BGJ327708 BQF327708 CAB327708 CJX327708 CTT327708 DDP327708 DNL327708 DXH327708 EHD327708 EQZ327708 FAV327708 FKR327708 FUN327708 GEJ327708 GOF327708 GYB327708 HHX327708 HRT327708 IBP327708 ILL327708 IVH327708 JFD327708 JOZ327708 JYV327708 KIR327708 KSN327708 LCJ327708 LMF327708 LWB327708 MFX327708 MPT327708 MZP327708 NJL327708 NTH327708 ODD327708 OMZ327708 OWV327708 PGR327708 PQN327708 QAJ327708 QKF327708 QUB327708 RDX327708 RNT327708 RXP327708 SHL327708 SRH327708 TBD327708 TKZ327708 TUV327708 UER327708 UON327708 UYJ327708 VIF327708 VSB327708 WBX327708 WLT327708 WVP327708 H393244 JD393244 SZ393244 ACV393244 AMR393244 AWN393244 BGJ393244 BQF393244 CAB393244 CJX393244 CTT393244 DDP393244 DNL393244 DXH393244 EHD393244 EQZ393244 FAV393244 FKR393244 FUN393244 GEJ393244 GOF393244 GYB393244 HHX393244 HRT393244 IBP393244 ILL393244 IVH393244 JFD393244 JOZ393244 JYV393244 KIR393244 KSN393244 LCJ393244 LMF393244 LWB393244 MFX393244 MPT393244 MZP393244 NJL393244 NTH393244 ODD393244 OMZ393244 OWV393244 PGR393244 PQN393244 QAJ393244 QKF393244 QUB393244 RDX393244 RNT393244 RXP393244 SHL393244 SRH393244 TBD393244 TKZ393244 TUV393244 UER393244 UON393244 UYJ393244 VIF393244 VSB393244 WBX393244 WLT393244 WVP393244 H458780 JD458780 SZ458780 ACV458780 AMR458780 AWN458780 BGJ458780 BQF458780 CAB458780 CJX458780 CTT458780 DDP458780 DNL458780 DXH458780 EHD458780 EQZ458780 FAV458780 FKR458780 FUN458780 GEJ458780 GOF458780 GYB458780 HHX458780 HRT458780 IBP458780 ILL458780 IVH458780 JFD458780 JOZ458780 JYV458780 KIR458780 KSN458780 LCJ458780 LMF458780 LWB458780 MFX458780 MPT458780 MZP458780 NJL458780 NTH458780 ODD458780 OMZ458780 OWV458780 PGR458780 PQN458780 QAJ458780 QKF458780 QUB458780 RDX458780 RNT458780 RXP458780 SHL458780 SRH458780 TBD458780 TKZ458780 TUV458780 UER458780 UON458780 UYJ458780 VIF458780 VSB458780 WBX458780 WLT458780 WVP458780 H524316 JD524316 SZ524316 ACV524316 AMR524316 AWN524316 BGJ524316 BQF524316 CAB524316 CJX524316 CTT524316 DDP524316 DNL524316 DXH524316 EHD524316 EQZ524316 FAV524316 FKR524316 FUN524316 GEJ524316 GOF524316 GYB524316 HHX524316 HRT524316 IBP524316 ILL524316 IVH524316 JFD524316 JOZ524316 JYV524316 KIR524316 KSN524316 LCJ524316 LMF524316 LWB524316 MFX524316 MPT524316 MZP524316 NJL524316 NTH524316 ODD524316 OMZ524316 OWV524316 PGR524316 PQN524316 QAJ524316 QKF524316 QUB524316 RDX524316 RNT524316 RXP524316 SHL524316 SRH524316 TBD524316 TKZ524316 TUV524316 UER524316 UON524316 UYJ524316 VIF524316 VSB524316 WBX524316 WLT524316 WVP524316 H589852 JD589852 SZ589852 ACV589852 AMR589852 AWN589852 BGJ589852 BQF589852 CAB589852 CJX589852 CTT589852 DDP589852 DNL589852 DXH589852 EHD589852 EQZ589852 FAV589852 FKR589852 FUN589852 GEJ589852 GOF589852 GYB589852 HHX589852 HRT589852 IBP589852 ILL589852 IVH589852 JFD589852 JOZ589852 JYV589852 KIR589852 KSN589852 LCJ589852 LMF589852 LWB589852 MFX589852 MPT589852 MZP589852 NJL589852 NTH589852 ODD589852 OMZ589852 OWV589852 PGR589852 PQN589852 QAJ589852 QKF589852 QUB589852 RDX589852 RNT589852 RXP589852 SHL589852 SRH589852 TBD589852 TKZ589852 TUV589852 UER589852 UON589852 UYJ589852 VIF589852 VSB589852 WBX589852 WLT589852 WVP589852 H655388 JD655388 SZ655388 ACV655388 AMR655388 AWN655388 BGJ655388 BQF655388 CAB655388 CJX655388 CTT655388 DDP655388 DNL655388 DXH655388 EHD655388 EQZ655388 FAV655388 FKR655388 FUN655388 GEJ655388 GOF655388 GYB655388 HHX655388 HRT655388 IBP655388 ILL655388 IVH655388 JFD655388 JOZ655388 JYV655388 KIR655388 KSN655388 LCJ655388 LMF655388 LWB655388 MFX655388 MPT655388 MZP655388 NJL655388 NTH655388 ODD655388 OMZ655388 OWV655388 PGR655388 PQN655388 QAJ655388 QKF655388 QUB655388 RDX655388 RNT655388 RXP655388 SHL655388 SRH655388 TBD655388 TKZ655388 TUV655388 UER655388 UON655388 UYJ655388 VIF655388 VSB655388 WBX655388 WLT655388 WVP655388 H720924 JD720924 SZ720924 ACV720924 AMR720924 AWN720924 BGJ720924 BQF720924 CAB720924 CJX720924 CTT720924 DDP720924 DNL720924 DXH720924 EHD720924 EQZ720924 FAV720924 FKR720924 FUN720924 GEJ720924 GOF720924 GYB720924 HHX720924 HRT720924 IBP720924 ILL720924 IVH720924 JFD720924 JOZ720924 JYV720924 KIR720924 KSN720924 LCJ720924 LMF720924 LWB720924 MFX720924 MPT720924 MZP720924 NJL720924 NTH720924 ODD720924 OMZ720924 OWV720924 PGR720924 PQN720924 QAJ720924 QKF720924 QUB720924 RDX720924 RNT720924 RXP720924 SHL720924 SRH720924 TBD720924 TKZ720924 TUV720924 UER720924 UON720924 UYJ720924 VIF720924 VSB720924 WBX720924 WLT720924 WVP720924 H786460 JD786460 SZ786460 ACV786460 AMR786460 AWN786460 BGJ786460 BQF786460 CAB786460 CJX786460 CTT786460 DDP786460 DNL786460 DXH786460 EHD786460 EQZ786460 FAV786460 FKR786460 FUN786460 GEJ786460 GOF786460 GYB786460 HHX786460 HRT786460 IBP786460 ILL786460 IVH786460 JFD786460 JOZ786460 JYV786460 KIR786460 KSN786460 LCJ786460 LMF786460 LWB786460 MFX786460 MPT786460 MZP786460 NJL786460 NTH786460 ODD786460 OMZ786460 OWV786460 PGR786460 PQN786460 QAJ786460 QKF786460 QUB786460 RDX786460 RNT786460 RXP786460 SHL786460 SRH786460 TBD786460 TKZ786460 TUV786460 UER786460 UON786460 UYJ786460 VIF786460 VSB786460 WBX786460 WLT786460 WVP786460 H851996 JD851996 SZ851996 ACV851996 AMR851996 AWN851996 BGJ851996 BQF851996 CAB851996 CJX851996 CTT851996 DDP851996 DNL851996 DXH851996 EHD851996 EQZ851996 FAV851996 FKR851996 FUN851996 GEJ851996 GOF851996 GYB851996 HHX851996 HRT851996 IBP851996 ILL851996 IVH851996 JFD851996 JOZ851996 JYV851996 KIR851996 KSN851996 LCJ851996 LMF851996 LWB851996 MFX851996 MPT851996 MZP851996 NJL851996 NTH851996 ODD851996 OMZ851996 OWV851996 PGR851996 PQN851996 QAJ851996 QKF851996 QUB851996 RDX851996 RNT851996 RXP851996 SHL851996 SRH851996 TBD851996 TKZ851996 TUV851996 UER851996 UON851996 UYJ851996 VIF851996 VSB851996 WBX851996 WLT851996 WVP851996 H917532 JD917532 SZ917532 ACV917532 AMR917532 AWN917532 BGJ917532 BQF917532 CAB917532 CJX917532 CTT917532 DDP917532 DNL917532 DXH917532 EHD917532 EQZ917532 FAV917532 FKR917532 FUN917532 GEJ917532 GOF917532 GYB917532 HHX917532 HRT917532 IBP917532 ILL917532 IVH917532 JFD917532 JOZ917532 JYV917532 KIR917532 KSN917532 LCJ917532 LMF917532 LWB917532 MFX917532 MPT917532 MZP917532 NJL917532 NTH917532 ODD917532 OMZ917532 OWV917532 PGR917532 PQN917532 QAJ917532 QKF917532 QUB917532 RDX917532 RNT917532 RXP917532 SHL917532 SRH917532 TBD917532 TKZ917532 TUV917532 UER917532 UON917532 UYJ917532 VIF917532 VSB917532 WBX917532 WLT917532 WVP917532 H983068 JD983068 SZ983068 ACV983068 AMR983068 AWN983068 BGJ983068 BQF983068 CAB983068 CJX983068 CTT983068 DDP983068 DNL983068 DXH983068 EHD983068 EQZ983068 FAV983068 FKR983068 FUN983068 GEJ983068 GOF983068 GYB983068 HHX983068 HRT983068 IBP983068 ILL983068 IVH983068 JFD983068 JOZ983068 JYV983068 KIR983068 KSN983068 LCJ983068 LMF983068 LWB983068 MFX983068 MPT983068 MZP983068 NJL983068 NTH983068 ODD983068 OMZ983068 OWV983068 PGR983068 PQN983068 QAJ983068 QKF983068 QUB983068 RDX983068 RNT983068 RXP983068 SHL983068 SRH983068 TBD983068 TKZ983068 TUV983068 UER983068 UON983068 UYJ983068 VIF983068 VSB983068 WBX983068 WLT983068 WVP983068" xr:uid="{C004EA15-E3C4-482D-90D7-038CA55FEC6F}">
      <formula1>0</formula1>
      <formula2>12</formula2>
    </dataValidation>
    <dataValidation type="list" allowBlank="1" showInputMessage="1" showErrorMessage="1" sqref="D6 IZ6 SV6 ACR6 AMN6 AWJ6 BGF6 BQB6 BZX6 CJT6 CTP6 DDL6 DNH6 DXD6 EGZ6 EQV6 FAR6 FKN6 FUJ6 GEF6 GOB6 GXX6 HHT6 HRP6 IBL6 ILH6 IVD6 JEZ6 JOV6 JYR6 KIN6 KSJ6 LCF6 LMB6 LVX6 MFT6 MPP6 MZL6 NJH6 NTD6 OCZ6 OMV6 OWR6 PGN6 PQJ6 QAF6 QKB6 QTX6 RDT6 RNP6 RXL6 SHH6 SRD6 TAZ6 TKV6 TUR6 UEN6 UOJ6 UYF6 VIB6 VRX6 WBT6 WLP6 WVL6 D65542 IZ65542 SV65542 ACR65542 AMN65542 AWJ65542 BGF65542 BQB65542 BZX65542 CJT65542 CTP65542 DDL65542 DNH65542 DXD65542 EGZ65542 EQV65542 FAR65542 FKN65542 FUJ65542 GEF65542 GOB65542 GXX65542 HHT65542 HRP65542 IBL65542 ILH65542 IVD65542 JEZ65542 JOV65542 JYR65542 KIN65542 KSJ65542 LCF65542 LMB65542 LVX65542 MFT65542 MPP65542 MZL65542 NJH65542 NTD65542 OCZ65542 OMV65542 OWR65542 PGN65542 PQJ65542 QAF65542 QKB65542 QTX65542 RDT65542 RNP65542 RXL65542 SHH65542 SRD65542 TAZ65542 TKV65542 TUR65542 UEN65542 UOJ65542 UYF65542 VIB65542 VRX65542 WBT65542 WLP65542 WVL65542 D131078 IZ131078 SV131078 ACR131078 AMN131078 AWJ131078 BGF131078 BQB131078 BZX131078 CJT131078 CTP131078 DDL131078 DNH131078 DXD131078 EGZ131078 EQV131078 FAR131078 FKN131078 FUJ131078 GEF131078 GOB131078 GXX131078 HHT131078 HRP131078 IBL131078 ILH131078 IVD131078 JEZ131078 JOV131078 JYR131078 KIN131078 KSJ131078 LCF131078 LMB131078 LVX131078 MFT131078 MPP131078 MZL131078 NJH131078 NTD131078 OCZ131078 OMV131078 OWR131078 PGN131078 PQJ131078 QAF131078 QKB131078 QTX131078 RDT131078 RNP131078 RXL131078 SHH131078 SRD131078 TAZ131078 TKV131078 TUR131078 UEN131078 UOJ131078 UYF131078 VIB131078 VRX131078 WBT131078 WLP131078 WVL131078 D196614 IZ196614 SV196614 ACR196614 AMN196614 AWJ196614 BGF196614 BQB196614 BZX196614 CJT196614 CTP196614 DDL196614 DNH196614 DXD196614 EGZ196614 EQV196614 FAR196614 FKN196614 FUJ196614 GEF196614 GOB196614 GXX196614 HHT196614 HRP196614 IBL196614 ILH196614 IVD196614 JEZ196614 JOV196614 JYR196614 KIN196614 KSJ196614 LCF196614 LMB196614 LVX196614 MFT196614 MPP196614 MZL196614 NJH196614 NTD196614 OCZ196614 OMV196614 OWR196614 PGN196614 PQJ196614 QAF196614 QKB196614 QTX196614 RDT196614 RNP196614 RXL196614 SHH196614 SRD196614 TAZ196614 TKV196614 TUR196614 UEN196614 UOJ196614 UYF196614 VIB196614 VRX196614 WBT196614 WLP196614 WVL196614 D262150 IZ262150 SV262150 ACR262150 AMN262150 AWJ262150 BGF262150 BQB262150 BZX262150 CJT262150 CTP262150 DDL262150 DNH262150 DXD262150 EGZ262150 EQV262150 FAR262150 FKN262150 FUJ262150 GEF262150 GOB262150 GXX262150 HHT262150 HRP262150 IBL262150 ILH262150 IVD262150 JEZ262150 JOV262150 JYR262150 KIN262150 KSJ262150 LCF262150 LMB262150 LVX262150 MFT262150 MPP262150 MZL262150 NJH262150 NTD262150 OCZ262150 OMV262150 OWR262150 PGN262150 PQJ262150 QAF262150 QKB262150 QTX262150 RDT262150 RNP262150 RXL262150 SHH262150 SRD262150 TAZ262150 TKV262150 TUR262150 UEN262150 UOJ262150 UYF262150 VIB262150 VRX262150 WBT262150 WLP262150 WVL262150 D327686 IZ327686 SV327686 ACR327686 AMN327686 AWJ327686 BGF327686 BQB327686 BZX327686 CJT327686 CTP327686 DDL327686 DNH327686 DXD327686 EGZ327686 EQV327686 FAR327686 FKN327686 FUJ327686 GEF327686 GOB327686 GXX327686 HHT327686 HRP327686 IBL327686 ILH327686 IVD327686 JEZ327686 JOV327686 JYR327686 KIN327686 KSJ327686 LCF327686 LMB327686 LVX327686 MFT327686 MPP327686 MZL327686 NJH327686 NTD327686 OCZ327686 OMV327686 OWR327686 PGN327686 PQJ327686 QAF327686 QKB327686 QTX327686 RDT327686 RNP327686 RXL327686 SHH327686 SRD327686 TAZ327686 TKV327686 TUR327686 UEN327686 UOJ327686 UYF327686 VIB327686 VRX327686 WBT327686 WLP327686 WVL327686 D393222 IZ393222 SV393222 ACR393222 AMN393222 AWJ393222 BGF393222 BQB393222 BZX393222 CJT393222 CTP393222 DDL393222 DNH393222 DXD393222 EGZ393222 EQV393222 FAR393222 FKN393222 FUJ393222 GEF393222 GOB393222 GXX393222 HHT393222 HRP393222 IBL393222 ILH393222 IVD393222 JEZ393222 JOV393222 JYR393222 KIN393222 KSJ393222 LCF393222 LMB393222 LVX393222 MFT393222 MPP393222 MZL393222 NJH393222 NTD393222 OCZ393222 OMV393222 OWR393222 PGN393222 PQJ393222 QAF393222 QKB393222 QTX393222 RDT393222 RNP393222 RXL393222 SHH393222 SRD393222 TAZ393222 TKV393222 TUR393222 UEN393222 UOJ393222 UYF393222 VIB393222 VRX393222 WBT393222 WLP393222 WVL393222 D458758 IZ458758 SV458758 ACR458758 AMN458758 AWJ458758 BGF458758 BQB458758 BZX458758 CJT458758 CTP458758 DDL458758 DNH458758 DXD458758 EGZ458758 EQV458758 FAR458758 FKN458758 FUJ458758 GEF458758 GOB458758 GXX458758 HHT458758 HRP458758 IBL458758 ILH458758 IVD458758 JEZ458758 JOV458758 JYR458758 KIN458758 KSJ458758 LCF458758 LMB458758 LVX458758 MFT458758 MPP458758 MZL458758 NJH458758 NTD458758 OCZ458758 OMV458758 OWR458758 PGN458758 PQJ458758 QAF458758 QKB458758 QTX458758 RDT458758 RNP458758 RXL458758 SHH458758 SRD458758 TAZ458758 TKV458758 TUR458758 UEN458758 UOJ458758 UYF458758 VIB458758 VRX458758 WBT458758 WLP458758 WVL458758 D524294 IZ524294 SV524294 ACR524294 AMN524294 AWJ524294 BGF524294 BQB524294 BZX524294 CJT524294 CTP524294 DDL524294 DNH524294 DXD524294 EGZ524294 EQV524294 FAR524294 FKN524294 FUJ524294 GEF524294 GOB524294 GXX524294 HHT524294 HRP524294 IBL524294 ILH524294 IVD524294 JEZ524294 JOV524294 JYR524294 KIN524294 KSJ524294 LCF524294 LMB524294 LVX524294 MFT524294 MPP524294 MZL524294 NJH524294 NTD524294 OCZ524294 OMV524294 OWR524294 PGN524294 PQJ524294 QAF524294 QKB524294 QTX524294 RDT524294 RNP524294 RXL524294 SHH524294 SRD524294 TAZ524294 TKV524294 TUR524294 UEN524294 UOJ524294 UYF524294 VIB524294 VRX524294 WBT524294 WLP524294 WVL524294 D589830 IZ589830 SV589830 ACR589830 AMN589830 AWJ589830 BGF589830 BQB589830 BZX589830 CJT589830 CTP589830 DDL589830 DNH589830 DXD589830 EGZ589830 EQV589830 FAR589830 FKN589830 FUJ589830 GEF589830 GOB589830 GXX589830 HHT589830 HRP589830 IBL589830 ILH589830 IVD589830 JEZ589830 JOV589830 JYR589830 KIN589830 KSJ589830 LCF589830 LMB589830 LVX589830 MFT589830 MPP589830 MZL589830 NJH589830 NTD589830 OCZ589830 OMV589830 OWR589830 PGN589830 PQJ589830 QAF589830 QKB589830 QTX589830 RDT589830 RNP589830 RXL589830 SHH589830 SRD589830 TAZ589830 TKV589830 TUR589830 UEN589830 UOJ589830 UYF589830 VIB589830 VRX589830 WBT589830 WLP589830 WVL589830 D655366 IZ655366 SV655366 ACR655366 AMN655366 AWJ655366 BGF655366 BQB655366 BZX655366 CJT655366 CTP655366 DDL655366 DNH655366 DXD655366 EGZ655366 EQV655366 FAR655366 FKN655366 FUJ655366 GEF655366 GOB655366 GXX655366 HHT655366 HRP655366 IBL655366 ILH655366 IVD655366 JEZ655366 JOV655366 JYR655366 KIN655366 KSJ655366 LCF655366 LMB655366 LVX655366 MFT655366 MPP655366 MZL655366 NJH655366 NTD655366 OCZ655366 OMV655366 OWR655366 PGN655366 PQJ655366 QAF655366 QKB655366 QTX655366 RDT655366 RNP655366 RXL655366 SHH655366 SRD655366 TAZ655366 TKV655366 TUR655366 UEN655366 UOJ655366 UYF655366 VIB655366 VRX655366 WBT655366 WLP655366 WVL655366 D720902 IZ720902 SV720902 ACR720902 AMN720902 AWJ720902 BGF720902 BQB720902 BZX720902 CJT720902 CTP720902 DDL720902 DNH720902 DXD720902 EGZ720902 EQV720902 FAR720902 FKN720902 FUJ720902 GEF720902 GOB720902 GXX720902 HHT720902 HRP720902 IBL720902 ILH720902 IVD720902 JEZ720902 JOV720902 JYR720902 KIN720902 KSJ720902 LCF720902 LMB720902 LVX720902 MFT720902 MPP720902 MZL720902 NJH720902 NTD720902 OCZ720902 OMV720902 OWR720902 PGN720902 PQJ720902 QAF720902 QKB720902 QTX720902 RDT720902 RNP720902 RXL720902 SHH720902 SRD720902 TAZ720902 TKV720902 TUR720902 UEN720902 UOJ720902 UYF720902 VIB720902 VRX720902 WBT720902 WLP720902 WVL720902 D786438 IZ786438 SV786438 ACR786438 AMN786438 AWJ786438 BGF786438 BQB786438 BZX786438 CJT786438 CTP786438 DDL786438 DNH786438 DXD786438 EGZ786438 EQV786438 FAR786438 FKN786438 FUJ786438 GEF786438 GOB786438 GXX786438 HHT786438 HRP786438 IBL786438 ILH786438 IVD786438 JEZ786438 JOV786438 JYR786438 KIN786438 KSJ786438 LCF786438 LMB786438 LVX786438 MFT786438 MPP786438 MZL786438 NJH786438 NTD786438 OCZ786438 OMV786438 OWR786438 PGN786438 PQJ786438 QAF786438 QKB786438 QTX786438 RDT786438 RNP786438 RXL786438 SHH786438 SRD786438 TAZ786438 TKV786438 TUR786438 UEN786438 UOJ786438 UYF786438 VIB786438 VRX786438 WBT786438 WLP786438 WVL786438 D851974 IZ851974 SV851974 ACR851974 AMN851974 AWJ851974 BGF851974 BQB851974 BZX851974 CJT851974 CTP851974 DDL851974 DNH851974 DXD851974 EGZ851974 EQV851974 FAR851974 FKN851974 FUJ851974 GEF851974 GOB851974 GXX851974 HHT851974 HRP851974 IBL851974 ILH851974 IVD851974 JEZ851974 JOV851974 JYR851974 KIN851974 KSJ851974 LCF851974 LMB851974 LVX851974 MFT851974 MPP851974 MZL851974 NJH851974 NTD851974 OCZ851974 OMV851974 OWR851974 PGN851974 PQJ851974 QAF851974 QKB851974 QTX851974 RDT851974 RNP851974 RXL851974 SHH851974 SRD851974 TAZ851974 TKV851974 TUR851974 UEN851974 UOJ851974 UYF851974 VIB851974 VRX851974 WBT851974 WLP851974 WVL851974 D917510 IZ917510 SV917510 ACR917510 AMN917510 AWJ917510 BGF917510 BQB917510 BZX917510 CJT917510 CTP917510 DDL917510 DNH917510 DXD917510 EGZ917510 EQV917510 FAR917510 FKN917510 FUJ917510 GEF917510 GOB917510 GXX917510 HHT917510 HRP917510 IBL917510 ILH917510 IVD917510 JEZ917510 JOV917510 JYR917510 KIN917510 KSJ917510 LCF917510 LMB917510 LVX917510 MFT917510 MPP917510 MZL917510 NJH917510 NTD917510 OCZ917510 OMV917510 OWR917510 PGN917510 PQJ917510 QAF917510 QKB917510 QTX917510 RDT917510 RNP917510 RXL917510 SHH917510 SRD917510 TAZ917510 TKV917510 TUR917510 UEN917510 UOJ917510 UYF917510 VIB917510 VRX917510 WBT917510 WLP917510 WVL917510 D983046 IZ983046 SV983046 ACR983046 AMN983046 AWJ983046 BGF983046 BQB983046 BZX983046 CJT983046 CTP983046 DDL983046 DNH983046 DXD983046 EGZ983046 EQV983046 FAR983046 FKN983046 FUJ983046 GEF983046 GOB983046 GXX983046 HHT983046 HRP983046 IBL983046 ILH983046 IVD983046 JEZ983046 JOV983046 JYR983046 KIN983046 KSJ983046 LCF983046 LMB983046 LVX983046 MFT983046 MPP983046 MZL983046 NJH983046 NTD983046 OCZ983046 OMV983046 OWR983046 PGN983046 PQJ983046 QAF983046 QKB983046 QTX983046 RDT983046 RNP983046 RXL983046 SHH983046 SRD983046 TAZ983046 TKV983046 TUR983046 UEN983046 UOJ983046 UYF983046 VIB983046 VRX983046 WBT983046 WLP983046 WVL983046" xr:uid="{4D891648-E311-4149-B132-C8D60A9D41AD}">
      <formula1>"6,8,10,12,16,20,25"</formula1>
    </dataValidation>
    <dataValidation type="whole" allowBlank="1" showInputMessage="1" showErrorMessage="1" sqref="C6:C7 IY6:IY7 SU6:SU7 ACQ6:ACQ7 AMM6:AMM7 AWI6:AWI7 BGE6:BGE7 BQA6:BQA7 BZW6:BZW7 CJS6:CJS7 CTO6:CTO7 DDK6:DDK7 DNG6:DNG7 DXC6:DXC7 EGY6:EGY7 EQU6:EQU7 FAQ6:FAQ7 FKM6:FKM7 FUI6:FUI7 GEE6:GEE7 GOA6:GOA7 GXW6:GXW7 HHS6:HHS7 HRO6:HRO7 IBK6:IBK7 ILG6:ILG7 IVC6:IVC7 JEY6:JEY7 JOU6:JOU7 JYQ6:JYQ7 KIM6:KIM7 KSI6:KSI7 LCE6:LCE7 LMA6:LMA7 LVW6:LVW7 MFS6:MFS7 MPO6:MPO7 MZK6:MZK7 NJG6:NJG7 NTC6:NTC7 OCY6:OCY7 OMU6:OMU7 OWQ6:OWQ7 PGM6:PGM7 PQI6:PQI7 QAE6:QAE7 QKA6:QKA7 QTW6:QTW7 RDS6:RDS7 RNO6:RNO7 RXK6:RXK7 SHG6:SHG7 SRC6:SRC7 TAY6:TAY7 TKU6:TKU7 TUQ6:TUQ7 UEM6:UEM7 UOI6:UOI7 UYE6:UYE7 VIA6:VIA7 VRW6:VRW7 WBS6:WBS7 WLO6:WLO7 WVK6:WVK7 C65542:C65543 IY65542:IY65543 SU65542:SU65543 ACQ65542:ACQ65543 AMM65542:AMM65543 AWI65542:AWI65543 BGE65542:BGE65543 BQA65542:BQA65543 BZW65542:BZW65543 CJS65542:CJS65543 CTO65542:CTO65543 DDK65542:DDK65543 DNG65542:DNG65543 DXC65542:DXC65543 EGY65542:EGY65543 EQU65542:EQU65543 FAQ65542:FAQ65543 FKM65542:FKM65543 FUI65542:FUI65543 GEE65542:GEE65543 GOA65542:GOA65543 GXW65542:GXW65543 HHS65542:HHS65543 HRO65542:HRO65543 IBK65542:IBK65543 ILG65542:ILG65543 IVC65542:IVC65543 JEY65542:JEY65543 JOU65542:JOU65543 JYQ65542:JYQ65543 KIM65542:KIM65543 KSI65542:KSI65543 LCE65542:LCE65543 LMA65542:LMA65543 LVW65542:LVW65543 MFS65542:MFS65543 MPO65542:MPO65543 MZK65542:MZK65543 NJG65542:NJG65543 NTC65542:NTC65543 OCY65542:OCY65543 OMU65542:OMU65543 OWQ65542:OWQ65543 PGM65542:PGM65543 PQI65542:PQI65543 QAE65542:QAE65543 QKA65542:QKA65543 QTW65542:QTW65543 RDS65542:RDS65543 RNO65542:RNO65543 RXK65542:RXK65543 SHG65542:SHG65543 SRC65542:SRC65543 TAY65542:TAY65543 TKU65542:TKU65543 TUQ65542:TUQ65543 UEM65542:UEM65543 UOI65542:UOI65543 UYE65542:UYE65543 VIA65542:VIA65543 VRW65542:VRW65543 WBS65542:WBS65543 WLO65542:WLO65543 WVK65542:WVK65543 C131078:C131079 IY131078:IY131079 SU131078:SU131079 ACQ131078:ACQ131079 AMM131078:AMM131079 AWI131078:AWI131079 BGE131078:BGE131079 BQA131078:BQA131079 BZW131078:BZW131079 CJS131078:CJS131079 CTO131078:CTO131079 DDK131078:DDK131079 DNG131078:DNG131079 DXC131078:DXC131079 EGY131078:EGY131079 EQU131078:EQU131079 FAQ131078:FAQ131079 FKM131078:FKM131079 FUI131078:FUI131079 GEE131078:GEE131079 GOA131078:GOA131079 GXW131078:GXW131079 HHS131078:HHS131079 HRO131078:HRO131079 IBK131078:IBK131079 ILG131078:ILG131079 IVC131078:IVC131079 JEY131078:JEY131079 JOU131078:JOU131079 JYQ131078:JYQ131079 KIM131078:KIM131079 KSI131078:KSI131079 LCE131078:LCE131079 LMA131078:LMA131079 LVW131078:LVW131079 MFS131078:MFS131079 MPO131078:MPO131079 MZK131078:MZK131079 NJG131078:NJG131079 NTC131078:NTC131079 OCY131078:OCY131079 OMU131078:OMU131079 OWQ131078:OWQ131079 PGM131078:PGM131079 PQI131078:PQI131079 QAE131078:QAE131079 QKA131078:QKA131079 QTW131078:QTW131079 RDS131078:RDS131079 RNO131078:RNO131079 RXK131078:RXK131079 SHG131078:SHG131079 SRC131078:SRC131079 TAY131078:TAY131079 TKU131078:TKU131079 TUQ131078:TUQ131079 UEM131078:UEM131079 UOI131078:UOI131079 UYE131078:UYE131079 VIA131078:VIA131079 VRW131078:VRW131079 WBS131078:WBS131079 WLO131078:WLO131079 WVK131078:WVK131079 C196614:C196615 IY196614:IY196615 SU196614:SU196615 ACQ196614:ACQ196615 AMM196614:AMM196615 AWI196614:AWI196615 BGE196614:BGE196615 BQA196614:BQA196615 BZW196614:BZW196615 CJS196614:CJS196615 CTO196614:CTO196615 DDK196614:DDK196615 DNG196614:DNG196615 DXC196614:DXC196615 EGY196614:EGY196615 EQU196614:EQU196615 FAQ196614:FAQ196615 FKM196614:FKM196615 FUI196614:FUI196615 GEE196614:GEE196615 GOA196614:GOA196615 GXW196614:GXW196615 HHS196614:HHS196615 HRO196614:HRO196615 IBK196614:IBK196615 ILG196614:ILG196615 IVC196614:IVC196615 JEY196614:JEY196615 JOU196614:JOU196615 JYQ196614:JYQ196615 KIM196614:KIM196615 KSI196614:KSI196615 LCE196614:LCE196615 LMA196614:LMA196615 LVW196614:LVW196615 MFS196614:MFS196615 MPO196614:MPO196615 MZK196614:MZK196615 NJG196614:NJG196615 NTC196614:NTC196615 OCY196614:OCY196615 OMU196614:OMU196615 OWQ196614:OWQ196615 PGM196614:PGM196615 PQI196614:PQI196615 QAE196614:QAE196615 QKA196614:QKA196615 QTW196614:QTW196615 RDS196614:RDS196615 RNO196614:RNO196615 RXK196614:RXK196615 SHG196614:SHG196615 SRC196614:SRC196615 TAY196614:TAY196615 TKU196614:TKU196615 TUQ196614:TUQ196615 UEM196614:UEM196615 UOI196614:UOI196615 UYE196614:UYE196615 VIA196614:VIA196615 VRW196614:VRW196615 WBS196614:WBS196615 WLO196614:WLO196615 WVK196614:WVK196615 C262150:C262151 IY262150:IY262151 SU262150:SU262151 ACQ262150:ACQ262151 AMM262150:AMM262151 AWI262150:AWI262151 BGE262150:BGE262151 BQA262150:BQA262151 BZW262150:BZW262151 CJS262150:CJS262151 CTO262150:CTO262151 DDK262150:DDK262151 DNG262150:DNG262151 DXC262150:DXC262151 EGY262150:EGY262151 EQU262150:EQU262151 FAQ262150:FAQ262151 FKM262150:FKM262151 FUI262150:FUI262151 GEE262150:GEE262151 GOA262150:GOA262151 GXW262150:GXW262151 HHS262150:HHS262151 HRO262150:HRO262151 IBK262150:IBK262151 ILG262150:ILG262151 IVC262150:IVC262151 JEY262150:JEY262151 JOU262150:JOU262151 JYQ262150:JYQ262151 KIM262150:KIM262151 KSI262150:KSI262151 LCE262150:LCE262151 LMA262150:LMA262151 LVW262150:LVW262151 MFS262150:MFS262151 MPO262150:MPO262151 MZK262150:MZK262151 NJG262150:NJG262151 NTC262150:NTC262151 OCY262150:OCY262151 OMU262150:OMU262151 OWQ262150:OWQ262151 PGM262150:PGM262151 PQI262150:PQI262151 QAE262150:QAE262151 QKA262150:QKA262151 QTW262150:QTW262151 RDS262150:RDS262151 RNO262150:RNO262151 RXK262150:RXK262151 SHG262150:SHG262151 SRC262150:SRC262151 TAY262150:TAY262151 TKU262150:TKU262151 TUQ262150:TUQ262151 UEM262150:UEM262151 UOI262150:UOI262151 UYE262150:UYE262151 VIA262150:VIA262151 VRW262150:VRW262151 WBS262150:WBS262151 WLO262150:WLO262151 WVK262150:WVK262151 C327686:C327687 IY327686:IY327687 SU327686:SU327687 ACQ327686:ACQ327687 AMM327686:AMM327687 AWI327686:AWI327687 BGE327686:BGE327687 BQA327686:BQA327687 BZW327686:BZW327687 CJS327686:CJS327687 CTO327686:CTO327687 DDK327686:DDK327687 DNG327686:DNG327687 DXC327686:DXC327687 EGY327686:EGY327687 EQU327686:EQU327687 FAQ327686:FAQ327687 FKM327686:FKM327687 FUI327686:FUI327687 GEE327686:GEE327687 GOA327686:GOA327687 GXW327686:GXW327687 HHS327686:HHS327687 HRO327686:HRO327687 IBK327686:IBK327687 ILG327686:ILG327687 IVC327686:IVC327687 JEY327686:JEY327687 JOU327686:JOU327687 JYQ327686:JYQ327687 KIM327686:KIM327687 KSI327686:KSI327687 LCE327686:LCE327687 LMA327686:LMA327687 LVW327686:LVW327687 MFS327686:MFS327687 MPO327686:MPO327687 MZK327686:MZK327687 NJG327686:NJG327687 NTC327686:NTC327687 OCY327686:OCY327687 OMU327686:OMU327687 OWQ327686:OWQ327687 PGM327686:PGM327687 PQI327686:PQI327687 QAE327686:QAE327687 QKA327686:QKA327687 QTW327686:QTW327687 RDS327686:RDS327687 RNO327686:RNO327687 RXK327686:RXK327687 SHG327686:SHG327687 SRC327686:SRC327687 TAY327686:TAY327687 TKU327686:TKU327687 TUQ327686:TUQ327687 UEM327686:UEM327687 UOI327686:UOI327687 UYE327686:UYE327687 VIA327686:VIA327687 VRW327686:VRW327687 WBS327686:WBS327687 WLO327686:WLO327687 WVK327686:WVK327687 C393222:C393223 IY393222:IY393223 SU393222:SU393223 ACQ393222:ACQ393223 AMM393222:AMM393223 AWI393222:AWI393223 BGE393222:BGE393223 BQA393222:BQA393223 BZW393222:BZW393223 CJS393222:CJS393223 CTO393222:CTO393223 DDK393222:DDK393223 DNG393222:DNG393223 DXC393222:DXC393223 EGY393222:EGY393223 EQU393222:EQU393223 FAQ393222:FAQ393223 FKM393222:FKM393223 FUI393222:FUI393223 GEE393222:GEE393223 GOA393222:GOA393223 GXW393222:GXW393223 HHS393222:HHS393223 HRO393222:HRO393223 IBK393222:IBK393223 ILG393222:ILG393223 IVC393222:IVC393223 JEY393222:JEY393223 JOU393222:JOU393223 JYQ393222:JYQ393223 KIM393222:KIM393223 KSI393222:KSI393223 LCE393222:LCE393223 LMA393222:LMA393223 LVW393222:LVW393223 MFS393222:MFS393223 MPO393222:MPO393223 MZK393222:MZK393223 NJG393222:NJG393223 NTC393222:NTC393223 OCY393222:OCY393223 OMU393222:OMU393223 OWQ393222:OWQ393223 PGM393222:PGM393223 PQI393222:PQI393223 QAE393222:QAE393223 QKA393222:QKA393223 QTW393222:QTW393223 RDS393222:RDS393223 RNO393222:RNO393223 RXK393222:RXK393223 SHG393222:SHG393223 SRC393222:SRC393223 TAY393222:TAY393223 TKU393222:TKU393223 TUQ393222:TUQ393223 UEM393222:UEM393223 UOI393222:UOI393223 UYE393222:UYE393223 VIA393222:VIA393223 VRW393222:VRW393223 WBS393222:WBS393223 WLO393222:WLO393223 WVK393222:WVK393223 C458758:C458759 IY458758:IY458759 SU458758:SU458759 ACQ458758:ACQ458759 AMM458758:AMM458759 AWI458758:AWI458759 BGE458758:BGE458759 BQA458758:BQA458759 BZW458758:BZW458759 CJS458758:CJS458759 CTO458758:CTO458759 DDK458758:DDK458759 DNG458758:DNG458759 DXC458758:DXC458759 EGY458758:EGY458759 EQU458758:EQU458759 FAQ458758:FAQ458759 FKM458758:FKM458759 FUI458758:FUI458759 GEE458758:GEE458759 GOA458758:GOA458759 GXW458758:GXW458759 HHS458758:HHS458759 HRO458758:HRO458759 IBK458758:IBK458759 ILG458758:ILG458759 IVC458758:IVC458759 JEY458758:JEY458759 JOU458758:JOU458759 JYQ458758:JYQ458759 KIM458758:KIM458759 KSI458758:KSI458759 LCE458758:LCE458759 LMA458758:LMA458759 LVW458758:LVW458759 MFS458758:MFS458759 MPO458758:MPO458759 MZK458758:MZK458759 NJG458758:NJG458759 NTC458758:NTC458759 OCY458758:OCY458759 OMU458758:OMU458759 OWQ458758:OWQ458759 PGM458758:PGM458759 PQI458758:PQI458759 QAE458758:QAE458759 QKA458758:QKA458759 QTW458758:QTW458759 RDS458758:RDS458759 RNO458758:RNO458759 RXK458758:RXK458759 SHG458758:SHG458759 SRC458758:SRC458759 TAY458758:TAY458759 TKU458758:TKU458759 TUQ458758:TUQ458759 UEM458758:UEM458759 UOI458758:UOI458759 UYE458758:UYE458759 VIA458758:VIA458759 VRW458758:VRW458759 WBS458758:WBS458759 WLO458758:WLO458759 WVK458758:WVK458759 C524294:C524295 IY524294:IY524295 SU524294:SU524295 ACQ524294:ACQ524295 AMM524294:AMM524295 AWI524294:AWI524295 BGE524294:BGE524295 BQA524294:BQA524295 BZW524294:BZW524295 CJS524294:CJS524295 CTO524294:CTO524295 DDK524294:DDK524295 DNG524294:DNG524295 DXC524294:DXC524295 EGY524294:EGY524295 EQU524294:EQU524295 FAQ524294:FAQ524295 FKM524294:FKM524295 FUI524294:FUI524295 GEE524294:GEE524295 GOA524294:GOA524295 GXW524294:GXW524295 HHS524294:HHS524295 HRO524294:HRO524295 IBK524294:IBK524295 ILG524294:ILG524295 IVC524294:IVC524295 JEY524294:JEY524295 JOU524294:JOU524295 JYQ524294:JYQ524295 KIM524294:KIM524295 KSI524294:KSI524295 LCE524294:LCE524295 LMA524294:LMA524295 LVW524294:LVW524295 MFS524294:MFS524295 MPO524294:MPO524295 MZK524294:MZK524295 NJG524294:NJG524295 NTC524294:NTC524295 OCY524294:OCY524295 OMU524294:OMU524295 OWQ524294:OWQ524295 PGM524294:PGM524295 PQI524294:PQI524295 QAE524294:QAE524295 QKA524294:QKA524295 QTW524294:QTW524295 RDS524294:RDS524295 RNO524294:RNO524295 RXK524294:RXK524295 SHG524294:SHG524295 SRC524294:SRC524295 TAY524294:TAY524295 TKU524294:TKU524295 TUQ524294:TUQ524295 UEM524294:UEM524295 UOI524294:UOI524295 UYE524294:UYE524295 VIA524294:VIA524295 VRW524294:VRW524295 WBS524294:WBS524295 WLO524294:WLO524295 WVK524294:WVK524295 C589830:C589831 IY589830:IY589831 SU589830:SU589831 ACQ589830:ACQ589831 AMM589830:AMM589831 AWI589830:AWI589831 BGE589830:BGE589831 BQA589830:BQA589831 BZW589830:BZW589831 CJS589830:CJS589831 CTO589830:CTO589831 DDK589830:DDK589831 DNG589830:DNG589831 DXC589830:DXC589831 EGY589830:EGY589831 EQU589830:EQU589831 FAQ589830:FAQ589831 FKM589830:FKM589831 FUI589830:FUI589831 GEE589830:GEE589831 GOA589830:GOA589831 GXW589830:GXW589831 HHS589830:HHS589831 HRO589830:HRO589831 IBK589830:IBK589831 ILG589830:ILG589831 IVC589830:IVC589831 JEY589830:JEY589831 JOU589830:JOU589831 JYQ589830:JYQ589831 KIM589830:KIM589831 KSI589830:KSI589831 LCE589830:LCE589831 LMA589830:LMA589831 LVW589830:LVW589831 MFS589830:MFS589831 MPO589830:MPO589831 MZK589830:MZK589831 NJG589830:NJG589831 NTC589830:NTC589831 OCY589830:OCY589831 OMU589830:OMU589831 OWQ589830:OWQ589831 PGM589830:PGM589831 PQI589830:PQI589831 QAE589830:QAE589831 QKA589830:QKA589831 QTW589830:QTW589831 RDS589830:RDS589831 RNO589830:RNO589831 RXK589830:RXK589831 SHG589830:SHG589831 SRC589830:SRC589831 TAY589830:TAY589831 TKU589830:TKU589831 TUQ589830:TUQ589831 UEM589830:UEM589831 UOI589830:UOI589831 UYE589830:UYE589831 VIA589830:VIA589831 VRW589830:VRW589831 WBS589830:WBS589831 WLO589830:WLO589831 WVK589830:WVK589831 C655366:C655367 IY655366:IY655367 SU655366:SU655367 ACQ655366:ACQ655367 AMM655366:AMM655367 AWI655366:AWI655367 BGE655366:BGE655367 BQA655366:BQA655367 BZW655366:BZW655367 CJS655366:CJS655367 CTO655366:CTO655367 DDK655366:DDK655367 DNG655366:DNG655367 DXC655366:DXC655367 EGY655366:EGY655367 EQU655366:EQU655367 FAQ655366:FAQ655367 FKM655366:FKM655367 FUI655366:FUI655367 GEE655366:GEE655367 GOA655366:GOA655367 GXW655366:GXW655367 HHS655366:HHS655367 HRO655366:HRO655367 IBK655366:IBK655367 ILG655366:ILG655367 IVC655366:IVC655367 JEY655366:JEY655367 JOU655366:JOU655367 JYQ655366:JYQ655367 KIM655366:KIM655367 KSI655366:KSI655367 LCE655366:LCE655367 LMA655366:LMA655367 LVW655366:LVW655367 MFS655366:MFS655367 MPO655366:MPO655367 MZK655366:MZK655367 NJG655366:NJG655367 NTC655366:NTC655367 OCY655366:OCY655367 OMU655366:OMU655367 OWQ655366:OWQ655367 PGM655366:PGM655367 PQI655366:PQI655367 QAE655366:QAE655367 QKA655366:QKA655367 QTW655366:QTW655367 RDS655366:RDS655367 RNO655366:RNO655367 RXK655366:RXK655367 SHG655366:SHG655367 SRC655366:SRC655367 TAY655366:TAY655367 TKU655366:TKU655367 TUQ655366:TUQ655367 UEM655366:UEM655367 UOI655366:UOI655367 UYE655366:UYE655367 VIA655366:VIA655367 VRW655366:VRW655367 WBS655366:WBS655367 WLO655366:WLO655367 WVK655366:WVK655367 C720902:C720903 IY720902:IY720903 SU720902:SU720903 ACQ720902:ACQ720903 AMM720902:AMM720903 AWI720902:AWI720903 BGE720902:BGE720903 BQA720902:BQA720903 BZW720902:BZW720903 CJS720902:CJS720903 CTO720902:CTO720903 DDK720902:DDK720903 DNG720902:DNG720903 DXC720902:DXC720903 EGY720902:EGY720903 EQU720902:EQU720903 FAQ720902:FAQ720903 FKM720902:FKM720903 FUI720902:FUI720903 GEE720902:GEE720903 GOA720902:GOA720903 GXW720902:GXW720903 HHS720902:HHS720903 HRO720902:HRO720903 IBK720902:IBK720903 ILG720902:ILG720903 IVC720902:IVC720903 JEY720902:JEY720903 JOU720902:JOU720903 JYQ720902:JYQ720903 KIM720902:KIM720903 KSI720902:KSI720903 LCE720902:LCE720903 LMA720902:LMA720903 LVW720902:LVW720903 MFS720902:MFS720903 MPO720902:MPO720903 MZK720902:MZK720903 NJG720902:NJG720903 NTC720902:NTC720903 OCY720902:OCY720903 OMU720902:OMU720903 OWQ720902:OWQ720903 PGM720902:PGM720903 PQI720902:PQI720903 QAE720902:QAE720903 QKA720902:QKA720903 QTW720902:QTW720903 RDS720902:RDS720903 RNO720902:RNO720903 RXK720902:RXK720903 SHG720902:SHG720903 SRC720902:SRC720903 TAY720902:TAY720903 TKU720902:TKU720903 TUQ720902:TUQ720903 UEM720902:UEM720903 UOI720902:UOI720903 UYE720902:UYE720903 VIA720902:VIA720903 VRW720902:VRW720903 WBS720902:WBS720903 WLO720902:WLO720903 WVK720902:WVK720903 C786438:C786439 IY786438:IY786439 SU786438:SU786439 ACQ786438:ACQ786439 AMM786438:AMM786439 AWI786438:AWI786439 BGE786438:BGE786439 BQA786438:BQA786439 BZW786438:BZW786439 CJS786438:CJS786439 CTO786438:CTO786439 DDK786438:DDK786439 DNG786438:DNG786439 DXC786438:DXC786439 EGY786438:EGY786439 EQU786438:EQU786439 FAQ786438:FAQ786439 FKM786438:FKM786439 FUI786438:FUI786439 GEE786438:GEE786439 GOA786438:GOA786439 GXW786438:GXW786439 HHS786438:HHS786439 HRO786438:HRO786439 IBK786438:IBK786439 ILG786438:ILG786439 IVC786438:IVC786439 JEY786438:JEY786439 JOU786438:JOU786439 JYQ786438:JYQ786439 KIM786438:KIM786439 KSI786438:KSI786439 LCE786438:LCE786439 LMA786438:LMA786439 LVW786438:LVW786439 MFS786438:MFS786439 MPO786438:MPO786439 MZK786438:MZK786439 NJG786438:NJG786439 NTC786438:NTC786439 OCY786438:OCY786439 OMU786438:OMU786439 OWQ786438:OWQ786439 PGM786438:PGM786439 PQI786438:PQI786439 QAE786438:QAE786439 QKA786438:QKA786439 QTW786438:QTW786439 RDS786438:RDS786439 RNO786438:RNO786439 RXK786438:RXK786439 SHG786438:SHG786439 SRC786438:SRC786439 TAY786438:TAY786439 TKU786438:TKU786439 TUQ786438:TUQ786439 UEM786438:UEM786439 UOI786438:UOI786439 UYE786438:UYE786439 VIA786438:VIA786439 VRW786438:VRW786439 WBS786438:WBS786439 WLO786438:WLO786439 WVK786438:WVK786439 C851974:C851975 IY851974:IY851975 SU851974:SU851975 ACQ851974:ACQ851975 AMM851974:AMM851975 AWI851974:AWI851975 BGE851974:BGE851975 BQA851974:BQA851975 BZW851974:BZW851975 CJS851974:CJS851975 CTO851974:CTO851975 DDK851974:DDK851975 DNG851974:DNG851975 DXC851974:DXC851975 EGY851974:EGY851975 EQU851974:EQU851975 FAQ851974:FAQ851975 FKM851974:FKM851975 FUI851974:FUI851975 GEE851974:GEE851975 GOA851974:GOA851975 GXW851974:GXW851975 HHS851974:HHS851975 HRO851974:HRO851975 IBK851974:IBK851975 ILG851974:ILG851975 IVC851974:IVC851975 JEY851974:JEY851975 JOU851974:JOU851975 JYQ851974:JYQ851975 KIM851974:KIM851975 KSI851974:KSI851975 LCE851974:LCE851975 LMA851974:LMA851975 LVW851974:LVW851975 MFS851974:MFS851975 MPO851974:MPO851975 MZK851974:MZK851975 NJG851974:NJG851975 NTC851974:NTC851975 OCY851974:OCY851975 OMU851974:OMU851975 OWQ851974:OWQ851975 PGM851974:PGM851975 PQI851974:PQI851975 QAE851974:QAE851975 QKA851974:QKA851975 QTW851974:QTW851975 RDS851974:RDS851975 RNO851974:RNO851975 RXK851974:RXK851975 SHG851974:SHG851975 SRC851974:SRC851975 TAY851974:TAY851975 TKU851974:TKU851975 TUQ851974:TUQ851975 UEM851974:UEM851975 UOI851974:UOI851975 UYE851974:UYE851975 VIA851974:VIA851975 VRW851974:VRW851975 WBS851974:WBS851975 WLO851974:WLO851975 WVK851974:WVK851975 C917510:C917511 IY917510:IY917511 SU917510:SU917511 ACQ917510:ACQ917511 AMM917510:AMM917511 AWI917510:AWI917511 BGE917510:BGE917511 BQA917510:BQA917511 BZW917510:BZW917511 CJS917510:CJS917511 CTO917510:CTO917511 DDK917510:DDK917511 DNG917510:DNG917511 DXC917510:DXC917511 EGY917510:EGY917511 EQU917510:EQU917511 FAQ917510:FAQ917511 FKM917510:FKM917511 FUI917510:FUI917511 GEE917510:GEE917511 GOA917510:GOA917511 GXW917510:GXW917511 HHS917510:HHS917511 HRO917510:HRO917511 IBK917510:IBK917511 ILG917510:ILG917511 IVC917510:IVC917511 JEY917510:JEY917511 JOU917510:JOU917511 JYQ917510:JYQ917511 KIM917510:KIM917511 KSI917510:KSI917511 LCE917510:LCE917511 LMA917510:LMA917511 LVW917510:LVW917511 MFS917510:MFS917511 MPO917510:MPO917511 MZK917510:MZK917511 NJG917510:NJG917511 NTC917510:NTC917511 OCY917510:OCY917511 OMU917510:OMU917511 OWQ917510:OWQ917511 PGM917510:PGM917511 PQI917510:PQI917511 QAE917510:QAE917511 QKA917510:QKA917511 QTW917510:QTW917511 RDS917510:RDS917511 RNO917510:RNO917511 RXK917510:RXK917511 SHG917510:SHG917511 SRC917510:SRC917511 TAY917510:TAY917511 TKU917510:TKU917511 TUQ917510:TUQ917511 UEM917510:UEM917511 UOI917510:UOI917511 UYE917510:UYE917511 VIA917510:VIA917511 VRW917510:VRW917511 WBS917510:WBS917511 WLO917510:WLO917511 WVK917510:WVK917511 C983046:C983047 IY983046:IY983047 SU983046:SU983047 ACQ983046:ACQ983047 AMM983046:AMM983047 AWI983046:AWI983047 BGE983046:BGE983047 BQA983046:BQA983047 BZW983046:BZW983047 CJS983046:CJS983047 CTO983046:CTO983047 DDK983046:DDK983047 DNG983046:DNG983047 DXC983046:DXC983047 EGY983046:EGY983047 EQU983046:EQU983047 FAQ983046:FAQ983047 FKM983046:FKM983047 FUI983046:FUI983047 GEE983046:GEE983047 GOA983046:GOA983047 GXW983046:GXW983047 HHS983046:HHS983047 HRO983046:HRO983047 IBK983046:IBK983047 ILG983046:ILG983047 IVC983046:IVC983047 JEY983046:JEY983047 JOU983046:JOU983047 JYQ983046:JYQ983047 KIM983046:KIM983047 KSI983046:KSI983047 LCE983046:LCE983047 LMA983046:LMA983047 LVW983046:LVW983047 MFS983046:MFS983047 MPO983046:MPO983047 MZK983046:MZK983047 NJG983046:NJG983047 NTC983046:NTC983047 OCY983046:OCY983047 OMU983046:OMU983047 OWQ983046:OWQ983047 PGM983046:PGM983047 PQI983046:PQI983047 QAE983046:QAE983047 QKA983046:QKA983047 QTW983046:QTW983047 RDS983046:RDS983047 RNO983046:RNO983047 RXK983046:RXK983047 SHG983046:SHG983047 SRC983046:SRC983047 TAY983046:TAY983047 TKU983046:TKU983047 TUQ983046:TUQ983047 UEM983046:UEM983047 UOI983046:UOI983047 UYE983046:UYE983047 VIA983046:VIA983047 VRW983046:VRW983047 WBS983046:WBS983047 WLO983046:WLO983047 WVK983046:WVK983047" xr:uid="{CD40C0FD-4557-454B-BD74-C9CE896AE690}">
      <formula1>0</formula1>
      <formula2>20</formula2>
    </dataValidation>
    <dataValidation type="list" operator="equal" allowBlank="1" showErrorMessage="1" sqref="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45 IX65545 ST65545 ACP65545 AML65545 AWH65545 BGD65545 BPZ65545 BZV65545 CJR65545 CTN65545 DDJ65545 DNF65545 DXB65545 EGX65545 EQT65545 FAP65545 FKL65545 FUH65545 GED65545 GNZ65545 GXV65545 HHR65545 HRN65545 IBJ65545 ILF65545 IVB65545 JEX65545 JOT65545 JYP65545 KIL65545 KSH65545 LCD65545 LLZ65545 LVV65545 MFR65545 MPN65545 MZJ65545 NJF65545 NTB65545 OCX65545 OMT65545 OWP65545 PGL65545 PQH65545 QAD65545 QJZ65545 QTV65545 RDR65545 RNN65545 RXJ65545 SHF65545 SRB65545 TAX65545 TKT65545 TUP65545 UEL65545 UOH65545 UYD65545 VHZ65545 VRV65545 WBR65545 WLN65545 WVJ65545 B131081 IX131081 ST131081 ACP131081 AML131081 AWH131081 BGD131081 BPZ131081 BZV131081 CJR131081 CTN131081 DDJ131081 DNF131081 DXB131081 EGX131081 EQT131081 FAP131081 FKL131081 FUH131081 GED131081 GNZ131081 GXV131081 HHR131081 HRN131081 IBJ131081 ILF131081 IVB131081 JEX131081 JOT131081 JYP131081 KIL131081 KSH131081 LCD131081 LLZ131081 LVV131081 MFR131081 MPN131081 MZJ131081 NJF131081 NTB131081 OCX131081 OMT131081 OWP131081 PGL131081 PQH131081 QAD131081 QJZ131081 QTV131081 RDR131081 RNN131081 RXJ131081 SHF131081 SRB131081 TAX131081 TKT131081 TUP131081 UEL131081 UOH131081 UYD131081 VHZ131081 VRV131081 WBR131081 WLN131081 WVJ131081 B196617 IX196617 ST196617 ACP196617 AML196617 AWH196617 BGD196617 BPZ196617 BZV196617 CJR196617 CTN196617 DDJ196617 DNF196617 DXB196617 EGX196617 EQT196617 FAP196617 FKL196617 FUH196617 GED196617 GNZ196617 GXV196617 HHR196617 HRN196617 IBJ196617 ILF196617 IVB196617 JEX196617 JOT196617 JYP196617 KIL196617 KSH196617 LCD196617 LLZ196617 LVV196617 MFR196617 MPN196617 MZJ196617 NJF196617 NTB196617 OCX196617 OMT196617 OWP196617 PGL196617 PQH196617 QAD196617 QJZ196617 QTV196617 RDR196617 RNN196617 RXJ196617 SHF196617 SRB196617 TAX196617 TKT196617 TUP196617 UEL196617 UOH196617 UYD196617 VHZ196617 VRV196617 WBR196617 WLN196617 WVJ196617 B262153 IX262153 ST262153 ACP262153 AML262153 AWH262153 BGD262153 BPZ262153 BZV262153 CJR262153 CTN262153 DDJ262153 DNF262153 DXB262153 EGX262153 EQT262153 FAP262153 FKL262153 FUH262153 GED262153 GNZ262153 GXV262153 HHR262153 HRN262153 IBJ262153 ILF262153 IVB262153 JEX262153 JOT262153 JYP262153 KIL262153 KSH262153 LCD262153 LLZ262153 LVV262153 MFR262153 MPN262153 MZJ262153 NJF262153 NTB262153 OCX262153 OMT262153 OWP262153 PGL262153 PQH262153 QAD262153 QJZ262153 QTV262153 RDR262153 RNN262153 RXJ262153 SHF262153 SRB262153 TAX262153 TKT262153 TUP262153 UEL262153 UOH262153 UYD262153 VHZ262153 VRV262153 WBR262153 WLN262153 WVJ262153 B327689 IX327689 ST327689 ACP327689 AML327689 AWH327689 BGD327689 BPZ327689 BZV327689 CJR327689 CTN327689 DDJ327689 DNF327689 DXB327689 EGX327689 EQT327689 FAP327689 FKL327689 FUH327689 GED327689 GNZ327689 GXV327689 HHR327689 HRN327689 IBJ327689 ILF327689 IVB327689 JEX327689 JOT327689 JYP327689 KIL327689 KSH327689 LCD327689 LLZ327689 LVV327689 MFR327689 MPN327689 MZJ327689 NJF327689 NTB327689 OCX327689 OMT327689 OWP327689 PGL327689 PQH327689 QAD327689 QJZ327689 QTV327689 RDR327689 RNN327689 RXJ327689 SHF327689 SRB327689 TAX327689 TKT327689 TUP327689 UEL327689 UOH327689 UYD327689 VHZ327689 VRV327689 WBR327689 WLN327689 WVJ327689 B393225 IX393225 ST393225 ACP393225 AML393225 AWH393225 BGD393225 BPZ393225 BZV393225 CJR393225 CTN393225 DDJ393225 DNF393225 DXB393225 EGX393225 EQT393225 FAP393225 FKL393225 FUH393225 GED393225 GNZ393225 GXV393225 HHR393225 HRN393225 IBJ393225 ILF393225 IVB393225 JEX393225 JOT393225 JYP393225 KIL393225 KSH393225 LCD393225 LLZ393225 LVV393225 MFR393225 MPN393225 MZJ393225 NJF393225 NTB393225 OCX393225 OMT393225 OWP393225 PGL393225 PQH393225 QAD393225 QJZ393225 QTV393225 RDR393225 RNN393225 RXJ393225 SHF393225 SRB393225 TAX393225 TKT393225 TUP393225 UEL393225 UOH393225 UYD393225 VHZ393225 VRV393225 WBR393225 WLN393225 WVJ393225 B458761 IX458761 ST458761 ACP458761 AML458761 AWH458761 BGD458761 BPZ458761 BZV458761 CJR458761 CTN458761 DDJ458761 DNF458761 DXB458761 EGX458761 EQT458761 FAP458761 FKL458761 FUH458761 GED458761 GNZ458761 GXV458761 HHR458761 HRN458761 IBJ458761 ILF458761 IVB458761 JEX458761 JOT458761 JYP458761 KIL458761 KSH458761 LCD458761 LLZ458761 LVV458761 MFR458761 MPN458761 MZJ458761 NJF458761 NTB458761 OCX458761 OMT458761 OWP458761 PGL458761 PQH458761 QAD458761 QJZ458761 QTV458761 RDR458761 RNN458761 RXJ458761 SHF458761 SRB458761 TAX458761 TKT458761 TUP458761 UEL458761 UOH458761 UYD458761 VHZ458761 VRV458761 WBR458761 WLN458761 WVJ458761 B524297 IX524297 ST524297 ACP524297 AML524297 AWH524297 BGD524297 BPZ524297 BZV524297 CJR524297 CTN524297 DDJ524297 DNF524297 DXB524297 EGX524297 EQT524297 FAP524297 FKL524297 FUH524297 GED524297 GNZ524297 GXV524297 HHR524297 HRN524297 IBJ524297 ILF524297 IVB524297 JEX524297 JOT524297 JYP524297 KIL524297 KSH524297 LCD524297 LLZ524297 LVV524297 MFR524297 MPN524297 MZJ524297 NJF524297 NTB524297 OCX524297 OMT524297 OWP524297 PGL524297 PQH524297 QAD524297 QJZ524297 QTV524297 RDR524297 RNN524297 RXJ524297 SHF524297 SRB524297 TAX524297 TKT524297 TUP524297 UEL524297 UOH524297 UYD524297 VHZ524297 VRV524297 WBR524297 WLN524297 WVJ524297 B589833 IX589833 ST589833 ACP589833 AML589833 AWH589833 BGD589833 BPZ589833 BZV589833 CJR589833 CTN589833 DDJ589833 DNF589833 DXB589833 EGX589833 EQT589833 FAP589833 FKL589833 FUH589833 GED589833 GNZ589833 GXV589833 HHR589833 HRN589833 IBJ589833 ILF589833 IVB589833 JEX589833 JOT589833 JYP589833 KIL589833 KSH589833 LCD589833 LLZ589833 LVV589833 MFR589833 MPN589833 MZJ589833 NJF589833 NTB589833 OCX589833 OMT589833 OWP589833 PGL589833 PQH589833 QAD589833 QJZ589833 QTV589833 RDR589833 RNN589833 RXJ589833 SHF589833 SRB589833 TAX589833 TKT589833 TUP589833 UEL589833 UOH589833 UYD589833 VHZ589833 VRV589833 WBR589833 WLN589833 WVJ589833 B655369 IX655369 ST655369 ACP655369 AML655369 AWH655369 BGD655369 BPZ655369 BZV655369 CJR655369 CTN655369 DDJ655369 DNF655369 DXB655369 EGX655369 EQT655369 FAP655369 FKL655369 FUH655369 GED655369 GNZ655369 GXV655369 HHR655369 HRN655369 IBJ655369 ILF655369 IVB655369 JEX655369 JOT655369 JYP655369 KIL655369 KSH655369 LCD655369 LLZ655369 LVV655369 MFR655369 MPN655369 MZJ655369 NJF655369 NTB655369 OCX655369 OMT655369 OWP655369 PGL655369 PQH655369 QAD655369 QJZ655369 QTV655369 RDR655369 RNN655369 RXJ655369 SHF655369 SRB655369 TAX655369 TKT655369 TUP655369 UEL655369 UOH655369 UYD655369 VHZ655369 VRV655369 WBR655369 WLN655369 WVJ655369 B720905 IX720905 ST720905 ACP720905 AML720905 AWH720905 BGD720905 BPZ720905 BZV720905 CJR720905 CTN720905 DDJ720905 DNF720905 DXB720905 EGX720905 EQT720905 FAP720905 FKL720905 FUH720905 GED720905 GNZ720905 GXV720905 HHR720905 HRN720905 IBJ720905 ILF720905 IVB720905 JEX720905 JOT720905 JYP720905 KIL720905 KSH720905 LCD720905 LLZ720905 LVV720905 MFR720905 MPN720905 MZJ720905 NJF720905 NTB720905 OCX720905 OMT720905 OWP720905 PGL720905 PQH720905 QAD720905 QJZ720905 QTV720905 RDR720905 RNN720905 RXJ720905 SHF720905 SRB720905 TAX720905 TKT720905 TUP720905 UEL720905 UOH720905 UYD720905 VHZ720905 VRV720905 WBR720905 WLN720905 WVJ720905 B786441 IX786441 ST786441 ACP786441 AML786441 AWH786441 BGD786441 BPZ786441 BZV786441 CJR786441 CTN786441 DDJ786441 DNF786441 DXB786441 EGX786441 EQT786441 FAP786441 FKL786441 FUH786441 GED786441 GNZ786441 GXV786441 HHR786441 HRN786441 IBJ786441 ILF786441 IVB786441 JEX786441 JOT786441 JYP786441 KIL786441 KSH786441 LCD786441 LLZ786441 LVV786441 MFR786441 MPN786441 MZJ786441 NJF786441 NTB786441 OCX786441 OMT786441 OWP786441 PGL786441 PQH786441 QAD786441 QJZ786441 QTV786441 RDR786441 RNN786441 RXJ786441 SHF786441 SRB786441 TAX786441 TKT786441 TUP786441 UEL786441 UOH786441 UYD786441 VHZ786441 VRV786441 WBR786441 WLN786441 WVJ786441 B851977 IX851977 ST851977 ACP851977 AML851977 AWH851977 BGD851977 BPZ851977 BZV851977 CJR851977 CTN851977 DDJ851977 DNF851977 DXB851977 EGX851977 EQT851977 FAP851977 FKL851977 FUH851977 GED851977 GNZ851977 GXV851977 HHR851977 HRN851977 IBJ851977 ILF851977 IVB851977 JEX851977 JOT851977 JYP851977 KIL851977 KSH851977 LCD851977 LLZ851977 LVV851977 MFR851977 MPN851977 MZJ851977 NJF851977 NTB851977 OCX851977 OMT851977 OWP851977 PGL851977 PQH851977 QAD851977 QJZ851977 QTV851977 RDR851977 RNN851977 RXJ851977 SHF851977 SRB851977 TAX851977 TKT851977 TUP851977 UEL851977 UOH851977 UYD851977 VHZ851977 VRV851977 WBR851977 WLN851977 WVJ851977 B917513 IX917513 ST917513 ACP917513 AML917513 AWH917513 BGD917513 BPZ917513 BZV917513 CJR917513 CTN917513 DDJ917513 DNF917513 DXB917513 EGX917513 EQT917513 FAP917513 FKL917513 FUH917513 GED917513 GNZ917513 GXV917513 HHR917513 HRN917513 IBJ917513 ILF917513 IVB917513 JEX917513 JOT917513 JYP917513 KIL917513 KSH917513 LCD917513 LLZ917513 LVV917513 MFR917513 MPN917513 MZJ917513 NJF917513 NTB917513 OCX917513 OMT917513 OWP917513 PGL917513 PQH917513 QAD917513 QJZ917513 QTV917513 RDR917513 RNN917513 RXJ917513 SHF917513 SRB917513 TAX917513 TKT917513 TUP917513 UEL917513 UOH917513 UYD917513 VHZ917513 VRV917513 WBR917513 WLN917513 WVJ917513 B983049 IX983049 ST983049 ACP983049 AML983049 AWH983049 BGD983049 BPZ983049 BZV983049 CJR983049 CTN983049 DDJ983049 DNF983049 DXB983049 EGX983049 EQT983049 FAP983049 FKL983049 FUH983049 GED983049 GNZ983049 GXV983049 HHR983049 HRN983049 IBJ983049 ILF983049 IVB983049 JEX983049 JOT983049 JYP983049 KIL983049 KSH983049 LCD983049 LLZ983049 LVV983049 MFR983049 MPN983049 MZJ983049 NJF983049 NTB983049 OCX983049 OMT983049 OWP983049 PGL983049 PQH983049 QAD983049 QJZ983049 QTV983049 RDR983049 RNN983049 RXJ983049 SHF983049 SRB983049 TAX983049 TKT983049 TUP983049 UEL983049 UOH983049 UYD983049 VHZ983049 VRV983049 WBR983049 WLN983049 WVJ983049" xr:uid="{A1196475-6957-470D-89D3-AAB2CAED8C9A}">
      <formula1>"15,20,25,30,35,40,45,50"</formula1>
      <formula2>0</formula2>
    </dataValidation>
    <dataValidation type="whole" allowBlank="1" showInputMessage="1" showErrorMessage="1" sqref="B10 IX10 ST10 ACP10 AML10 AWH10 BGD10 BPZ10 BZV10 CJR10 CTN10 DDJ10 DNF10 DXB10 EGX10 EQT10 FAP10 FKL10 FUH10 GED10 GNZ10 GXV10 HHR10 HRN10 IBJ10 ILF10 IVB10 JEX10 JOT10 JYP10 KIL10 KSH10 LCD10 LLZ10 LVV10 MFR10 MPN10 MZJ10 NJF10 NTB10 OCX10 OMT10 OWP10 PGL10 PQH10 QAD10 QJZ10 QTV10 RDR10 RNN10 RXJ10 SHF10 SRB10 TAX10 TKT10 TUP10 UEL10 UOH10 UYD10 VHZ10 VRV10 WBR10 WLN10 WVJ10 B65546 IX65546 ST65546 ACP65546 AML65546 AWH65546 BGD65546 BPZ65546 BZV65546 CJR65546 CTN65546 DDJ65546 DNF65546 DXB65546 EGX65546 EQT65546 FAP65546 FKL65546 FUH65546 GED65546 GNZ65546 GXV65546 HHR65546 HRN65546 IBJ65546 ILF65546 IVB65546 JEX65546 JOT65546 JYP65546 KIL65546 KSH65546 LCD65546 LLZ65546 LVV65546 MFR65546 MPN65546 MZJ65546 NJF65546 NTB65546 OCX65546 OMT65546 OWP65546 PGL65546 PQH65546 QAD65546 QJZ65546 QTV65546 RDR65546 RNN65546 RXJ65546 SHF65546 SRB65546 TAX65546 TKT65546 TUP65546 UEL65546 UOH65546 UYD65546 VHZ65546 VRV65546 WBR65546 WLN65546 WVJ65546 B131082 IX131082 ST131082 ACP131082 AML131082 AWH131082 BGD131082 BPZ131082 BZV131082 CJR131082 CTN131082 DDJ131082 DNF131082 DXB131082 EGX131082 EQT131082 FAP131082 FKL131082 FUH131082 GED131082 GNZ131082 GXV131082 HHR131082 HRN131082 IBJ131082 ILF131082 IVB131082 JEX131082 JOT131082 JYP131082 KIL131082 KSH131082 LCD131082 LLZ131082 LVV131082 MFR131082 MPN131082 MZJ131082 NJF131082 NTB131082 OCX131082 OMT131082 OWP131082 PGL131082 PQH131082 QAD131082 QJZ131082 QTV131082 RDR131082 RNN131082 RXJ131082 SHF131082 SRB131082 TAX131082 TKT131082 TUP131082 UEL131082 UOH131082 UYD131082 VHZ131082 VRV131082 WBR131082 WLN131082 WVJ131082 B196618 IX196618 ST196618 ACP196618 AML196618 AWH196618 BGD196618 BPZ196618 BZV196618 CJR196618 CTN196618 DDJ196618 DNF196618 DXB196618 EGX196618 EQT196618 FAP196618 FKL196618 FUH196618 GED196618 GNZ196618 GXV196618 HHR196618 HRN196618 IBJ196618 ILF196618 IVB196618 JEX196618 JOT196618 JYP196618 KIL196618 KSH196618 LCD196618 LLZ196618 LVV196618 MFR196618 MPN196618 MZJ196618 NJF196618 NTB196618 OCX196618 OMT196618 OWP196618 PGL196618 PQH196618 QAD196618 QJZ196618 QTV196618 RDR196618 RNN196618 RXJ196618 SHF196618 SRB196618 TAX196618 TKT196618 TUP196618 UEL196618 UOH196618 UYD196618 VHZ196618 VRV196618 WBR196618 WLN196618 WVJ196618 B262154 IX262154 ST262154 ACP262154 AML262154 AWH262154 BGD262154 BPZ262154 BZV262154 CJR262154 CTN262154 DDJ262154 DNF262154 DXB262154 EGX262154 EQT262154 FAP262154 FKL262154 FUH262154 GED262154 GNZ262154 GXV262154 HHR262154 HRN262154 IBJ262154 ILF262154 IVB262154 JEX262154 JOT262154 JYP262154 KIL262154 KSH262154 LCD262154 LLZ262154 LVV262154 MFR262154 MPN262154 MZJ262154 NJF262154 NTB262154 OCX262154 OMT262154 OWP262154 PGL262154 PQH262154 QAD262154 QJZ262154 QTV262154 RDR262154 RNN262154 RXJ262154 SHF262154 SRB262154 TAX262154 TKT262154 TUP262154 UEL262154 UOH262154 UYD262154 VHZ262154 VRV262154 WBR262154 WLN262154 WVJ262154 B327690 IX327690 ST327690 ACP327690 AML327690 AWH327690 BGD327690 BPZ327690 BZV327690 CJR327690 CTN327690 DDJ327690 DNF327690 DXB327690 EGX327690 EQT327690 FAP327690 FKL327690 FUH327690 GED327690 GNZ327690 GXV327690 HHR327690 HRN327690 IBJ327690 ILF327690 IVB327690 JEX327690 JOT327690 JYP327690 KIL327690 KSH327690 LCD327690 LLZ327690 LVV327690 MFR327690 MPN327690 MZJ327690 NJF327690 NTB327690 OCX327690 OMT327690 OWP327690 PGL327690 PQH327690 QAD327690 QJZ327690 QTV327690 RDR327690 RNN327690 RXJ327690 SHF327690 SRB327690 TAX327690 TKT327690 TUP327690 UEL327690 UOH327690 UYD327690 VHZ327690 VRV327690 WBR327690 WLN327690 WVJ327690 B393226 IX393226 ST393226 ACP393226 AML393226 AWH393226 BGD393226 BPZ393226 BZV393226 CJR393226 CTN393226 DDJ393226 DNF393226 DXB393226 EGX393226 EQT393226 FAP393226 FKL393226 FUH393226 GED393226 GNZ393226 GXV393226 HHR393226 HRN393226 IBJ393226 ILF393226 IVB393226 JEX393226 JOT393226 JYP393226 KIL393226 KSH393226 LCD393226 LLZ393226 LVV393226 MFR393226 MPN393226 MZJ393226 NJF393226 NTB393226 OCX393226 OMT393226 OWP393226 PGL393226 PQH393226 QAD393226 QJZ393226 QTV393226 RDR393226 RNN393226 RXJ393226 SHF393226 SRB393226 TAX393226 TKT393226 TUP393226 UEL393226 UOH393226 UYD393226 VHZ393226 VRV393226 WBR393226 WLN393226 WVJ393226 B458762 IX458762 ST458762 ACP458762 AML458762 AWH458762 BGD458762 BPZ458762 BZV458762 CJR458762 CTN458762 DDJ458762 DNF458762 DXB458762 EGX458762 EQT458762 FAP458762 FKL458762 FUH458762 GED458762 GNZ458762 GXV458762 HHR458762 HRN458762 IBJ458762 ILF458762 IVB458762 JEX458762 JOT458762 JYP458762 KIL458762 KSH458762 LCD458762 LLZ458762 LVV458762 MFR458762 MPN458762 MZJ458762 NJF458762 NTB458762 OCX458762 OMT458762 OWP458762 PGL458762 PQH458762 QAD458762 QJZ458762 QTV458762 RDR458762 RNN458762 RXJ458762 SHF458762 SRB458762 TAX458762 TKT458762 TUP458762 UEL458762 UOH458762 UYD458762 VHZ458762 VRV458762 WBR458762 WLN458762 WVJ458762 B524298 IX524298 ST524298 ACP524298 AML524298 AWH524298 BGD524298 BPZ524298 BZV524298 CJR524298 CTN524298 DDJ524298 DNF524298 DXB524298 EGX524298 EQT524298 FAP524298 FKL524298 FUH524298 GED524298 GNZ524298 GXV524298 HHR524298 HRN524298 IBJ524298 ILF524298 IVB524298 JEX524298 JOT524298 JYP524298 KIL524298 KSH524298 LCD524298 LLZ524298 LVV524298 MFR524298 MPN524298 MZJ524298 NJF524298 NTB524298 OCX524298 OMT524298 OWP524298 PGL524298 PQH524298 QAD524298 QJZ524298 QTV524298 RDR524298 RNN524298 RXJ524298 SHF524298 SRB524298 TAX524298 TKT524298 TUP524298 UEL524298 UOH524298 UYD524298 VHZ524298 VRV524298 WBR524298 WLN524298 WVJ524298 B589834 IX589834 ST589834 ACP589834 AML589834 AWH589834 BGD589834 BPZ589834 BZV589834 CJR589834 CTN589834 DDJ589834 DNF589834 DXB589834 EGX589834 EQT589834 FAP589834 FKL589834 FUH589834 GED589834 GNZ589834 GXV589834 HHR589834 HRN589834 IBJ589834 ILF589834 IVB589834 JEX589834 JOT589834 JYP589834 KIL589834 KSH589834 LCD589834 LLZ589834 LVV589834 MFR589834 MPN589834 MZJ589834 NJF589834 NTB589834 OCX589834 OMT589834 OWP589834 PGL589834 PQH589834 QAD589834 QJZ589834 QTV589834 RDR589834 RNN589834 RXJ589834 SHF589834 SRB589834 TAX589834 TKT589834 TUP589834 UEL589834 UOH589834 UYD589834 VHZ589834 VRV589834 WBR589834 WLN589834 WVJ589834 B655370 IX655370 ST655370 ACP655370 AML655370 AWH655370 BGD655370 BPZ655370 BZV655370 CJR655370 CTN655370 DDJ655370 DNF655370 DXB655370 EGX655370 EQT655370 FAP655370 FKL655370 FUH655370 GED655370 GNZ655370 GXV655370 HHR655370 HRN655370 IBJ655370 ILF655370 IVB655370 JEX655370 JOT655370 JYP655370 KIL655370 KSH655370 LCD655370 LLZ655370 LVV655370 MFR655370 MPN655370 MZJ655370 NJF655370 NTB655370 OCX655370 OMT655370 OWP655370 PGL655370 PQH655370 QAD655370 QJZ655370 QTV655370 RDR655370 RNN655370 RXJ655370 SHF655370 SRB655370 TAX655370 TKT655370 TUP655370 UEL655370 UOH655370 UYD655370 VHZ655370 VRV655370 WBR655370 WLN655370 WVJ655370 B720906 IX720906 ST720906 ACP720906 AML720906 AWH720906 BGD720906 BPZ720906 BZV720906 CJR720906 CTN720906 DDJ720906 DNF720906 DXB720906 EGX720906 EQT720906 FAP720906 FKL720906 FUH720906 GED720906 GNZ720906 GXV720906 HHR720906 HRN720906 IBJ720906 ILF720906 IVB720906 JEX720906 JOT720906 JYP720906 KIL720906 KSH720906 LCD720906 LLZ720906 LVV720906 MFR720906 MPN720906 MZJ720906 NJF720906 NTB720906 OCX720906 OMT720906 OWP720906 PGL720906 PQH720906 QAD720906 QJZ720906 QTV720906 RDR720906 RNN720906 RXJ720906 SHF720906 SRB720906 TAX720906 TKT720906 TUP720906 UEL720906 UOH720906 UYD720906 VHZ720906 VRV720906 WBR720906 WLN720906 WVJ720906 B786442 IX786442 ST786442 ACP786442 AML786442 AWH786442 BGD786442 BPZ786442 BZV786442 CJR786442 CTN786442 DDJ786442 DNF786442 DXB786442 EGX786442 EQT786442 FAP786442 FKL786442 FUH786442 GED786442 GNZ786442 GXV786442 HHR786442 HRN786442 IBJ786442 ILF786442 IVB786442 JEX786442 JOT786442 JYP786442 KIL786442 KSH786442 LCD786442 LLZ786442 LVV786442 MFR786442 MPN786442 MZJ786442 NJF786442 NTB786442 OCX786442 OMT786442 OWP786442 PGL786442 PQH786442 QAD786442 QJZ786442 QTV786442 RDR786442 RNN786442 RXJ786442 SHF786442 SRB786442 TAX786442 TKT786442 TUP786442 UEL786442 UOH786442 UYD786442 VHZ786442 VRV786442 WBR786442 WLN786442 WVJ786442 B851978 IX851978 ST851978 ACP851978 AML851978 AWH851978 BGD851978 BPZ851978 BZV851978 CJR851978 CTN851978 DDJ851978 DNF851978 DXB851978 EGX851978 EQT851978 FAP851978 FKL851978 FUH851978 GED851978 GNZ851978 GXV851978 HHR851978 HRN851978 IBJ851978 ILF851978 IVB851978 JEX851978 JOT851978 JYP851978 KIL851978 KSH851978 LCD851978 LLZ851978 LVV851978 MFR851978 MPN851978 MZJ851978 NJF851978 NTB851978 OCX851978 OMT851978 OWP851978 PGL851978 PQH851978 QAD851978 QJZ851978 QTV851978 RDR851978 RNN851978 RXJ851978 SHF851978 SRB851978 TAX851978 TKT851978 TUP851978 UEL851978 UOH851978 UYD851978 VHZ851978 VRV851978 WBR851978 WLN851978 WVJ851978 B917514 IX917514 ST917514 ACP917514 AML917514 AWH917514 BGD917514 BPZ917514 BZV917514 CJR917514 CTN917514 DDJ917514 DNF917514 DXB917514 EGX917514 EQT917514 FAP917514 FKL917514 FUH917514 GED917514 GNZ917514 GXV917514 HHR917514 HRN917514 IBJ917514 ILF917514 IVB917514 JEX917514 JOT917514 JYP917514 KIL917514 KSH917514 LCD917514 LLZ917514 LVV917514 MFR917514 MPN917514 MZJ917514 NJF917514 NTB917514 OCX917514 OMT917514 OWP917514 PGL917514 PQH917514 QAD917514 QJZ917514 QTV917514 RDR917514 RNN917514 RXJ917514 SHF917514 SRB917514 TAX917514 TKT917514 TUP917514 UEL917514 UOH917514 UYD917514 VHZ917514 VRV917514 WBR917514 WLN917514 WVJ917514 B983050 IX983050 ST983050 ACP983050 AML983050 AWH983050 BGD983050 BPZ983050 BZV983050 CJR983050 CTN983050 DDJ983050 DNF983050 DXB983050 EGX983050 EQT983050 FAP983050 FKL983050 FUH983050 GED983050 GNZ983050 GXV983050 HHR983050 HRN983050 IBJ983050 ILF983050 IVB983050 JEX983050 JOT983050 JYP983050 KIL983050 KSH983050 LCD983050 LLZ983050 LVV983050 MFR983050 MPN983050 MZJ983050 NJF983050 NTB983050 OCX983050 OMT983050 OWP983050 PGL983050 PQH983050 QAD983050 QJZ983050 QTV983050 RDR983050 RNN983050 RXJ983050 SHF983050 SRB983050 TAX983050 TKT983050 TUP983050 UEL983050 UOH983050 UYD983050 VHZ983050 VRV983050 WBR983050 WLN983050 WVJ983050 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42 IX65542 ST65542 ACP65542 AML65542 AWH65542 BGD65542 BPZ65542 BZV65542 CJR65542 CTN65542 DDJ65542 DNF65542 DXB65542 EGX65542 EQT65542 FAP65542 FKL65542 FUH65542 GED65542 GNZ65542 GXV65542 HHR65542 HRN65542 IBJ65542 ILF65542 IVB65542 JEX65542 JOT65542 JYP65542 KIL65542 KSH65542 LCD65542 LLZ65542 LVV65542 MFR65542 MPN65542 MZJ65542 NJF65542 NTB65542 OCX65542 OMT65542 OWP65542 PGL65542 PQH65542 QAD65542 QJZ65542 QTV65542 RDR65542 RNN65542 RXJ65542 SHF65542 SRB65542 TAX65542 TKT65542 TUP65542 UEL65542 UOH65542 UYD65542 VHZ65542 VRV65542 WBR65542 WLN65542 WVJ65542 B131078 IX131078 ST131078 ACP131078 AML131078 AWH131078 BGD131078 BPZ131078 BZV131078 CJR131078 CTN131078 DDJ131078 DNF131078 DXB131078 EGX131078 EQT131078 FAP131078 FKL131078 FUH131078 GED131078 GNZ131078 GXV131078 HHR131078 HRN131078 IBJ131078 ILF131078 IVB131078 JEX131078 JOT131078 JYP131078 KIL131078 KSH131078 LCD131078 LLZ131078 LVV131078 MFR131078 MPN131078 MZJ131078 NJF131078 NTB131078 OCX131078 OMT131078 OWP131078 PGL131078 PQH131078 QAD131078 QJZ131078 QTV131078 RDR131078 RNN131078 RXJ131078 SHF131078 SRB131078 TAX131078 TKT131078 TUP131078 UEL131078 UOH131078 UYD131078 VHZ131078 VRV131078 WBR131078 WLN131078 WVJ131078 B196614 IX196614 ST196614 ACP196614 AML196614 AWH196614 BGD196614 BPZ196614 BZV196614 CJR196614 CTN196614 DDJ196614 DNF196614 DXB196614 EGX196614 EQT196614 FAP196614 FKL196614 FUH196614 GED196614 GNZ196614 GXV196614 HHR196614 HRN196614 IBJ196614 ILF196614 IVB196614 JEX196614 JOT196614 JYP196614 KIL196614 KSH196614 LCD196614 LLZ196614 LVV196614 MFR196614 MPN196614 MZJ196614 NJF196614 NTB196614 OCX196614 OMT196614 OWP196614 PGL196614 PQH196614 QAD196614 QJZ196614 QTV196614 RDR196614 RNN196614 RXJ196614 SHF196614 SRB196614 TAX196614 TKT196614 TUP196614 UEL196614 UOH196614 UYD196614 VHZ196614 VRV196614 WBR196614 WLN196614 WVJ196614 B262150 IX262150 ST262150 ACP262150 AML262150 AWH262150 BGD262150 BPZ262150 BZV262150 CJR262150 CTN262150 DDJ262150 DNF262150 DXB262150 EGX262150 EQT262150 FAP262150 FKL262150 FUH262150 GED262150 GNZ262150 GXV262150 HHR262150 HRN262150 IBJ262150 ILF262150 IVB262150 JEX262150 JOT262150 JYP262150 KIL262150 KSH262150 LCD262150 LLZ262150 LVV262150 MFR262150 MPN262150 MZJ262150 NJF262150 NTB262150 OCX262150 OMT262150 OWP262150 PGL262150 PQH262150 QAD262150 QJZ262150 QTV262150 RDR262150 RNN262150 RXJ262150 SHF262150 SRB262150 TAX262150 TKT262150 TUP262150 UEL262150 UOH262150 UYD262150 VHZ262150 VRV262150 WBR262150 WLN262150 WVJ262150 B327686 IX327686 ST327686 ACP327686 AML327686 AWH327686 BGD327686 BPZ327686 BZV327686 CJR327686 CTN327686 DDJ327686 DNF327686 DXB327686 EGX327686 EQT327686 FAP327686 FKL327686 FUH327686 GED327686 GNZ327686 GXV327686 HHR327686 HRN327686 IBJ327686 ILF327686 IVB327686 JEX327686 JOT327686 JYP327686 KIL327686 KSH327686 LCD327686 LLZ327686 LVV327686 MFR327686 MPN327686 MZJ327686 NJF327686 NTB327686 OCX327686 OMT327686 OWP327686 PGL327686 PQH327686 QAD327686 QJZ327686 QTV327686 RDR327686 RNN327686 RXJ327686 SHF327686 SRB327686 TAX327686 TKT327686 TUP327686 UEL327686 UOH327686 UYD327686 VHZ327686 VRV327686 WBR327686 WLN327686 WVJ327686 B393222 IX393222 ST393222 ACP393222 AML393222 AWH393222 BGD393222 BPZ393222 BZV393222 CJR393222 CTN393222 DDJ393222 DNF393222 DXB393222 EGX393222 EQT393222 FAP393222 FKL393222 FUH393222 GED393222 GNZ393222 GXV393222 HHR393222 HRN393222 IBJ393222 ILF393222 IVB393222 JEX393222 JOT393222 JYP393222 KIL393222 KSH393222 LCD393222 LLZ393222 LVV393222 MFR393222 MPN393222 MZJ393222 NJF393222 NTB393222 OCX393222 OMT393222 OWP393222 PGL393222 PQH393222 QAD393222 QJZ393222 QTV393222 RDR393222 RNN393222 RXJ393222 SHF393222 SRB393222 TAX393222 TKT393222 TUP393222 UEL393222 UOH393222 UYD393222 VHZ393222 VRV393222 WBR393222 WLN393222 WVJ393222 B458758 IX458758 ST458758 ACP458758 AML458758 AWH458758 BGD458758 BPZ458758 BZV458758 CJR458758 CTN458758 DDJ458758 DNF458758 DXB458758 EGX458758 EQT458758 FAP458758 FKL458758 FUH458758 GED458758 GNZ458758 GXV458758 HHR458758 HRN458758 IBJ458758 ILF458758 IVB458758 JEX458758 JOT458758 JYP458758 KIL458758 KSH458758 LCD458758 LLZ458758 LVV458758 MFR458758 MPN458758 MZJ458758 NJF458758 NTB458758 OCX458758 OMT458758 OWP458758 PGL458758 PQH458758 QAD458758 QJZ458758 QTV458758 RDR458758 RNN458758 RXJ458758 SHF458758 SRB458758 TAX458758 TKT458758 TUP458758 UEL458758 UOH458758 UYD458758 VHZ458758 VRV458758 WBR458758 WLN458758 WVJ458758 B524294 IX524294 ST524294 ACP524294 AML524294 AWH524294 BGD524294 BPZ524294 BZV524294 CJR524294 CTN524294 DDJ524294 DNF524294 DXB524294 EGX524294 EQT524294 FAP524294 FKL524294 FUH524294 GED524294 GNZ524294 GXV524294 HHR524294 HRN524294 IBJ524294 ILF524294 IVB524294 JEX524294 JOT524294 JYP524294 KIL524294 KSH524294 LCD524294 LLZ524294 LVV524294 MFR524294 MPN524294 MZJ524294 NJF524294 NTB524294 OCX524294 OMT524294 OWP524294 PGL524294 PQH524294 QAD524294 QJZ524294 QTV524294 RDR524294 RNN524294 RXJ524294 SHF524294 SRB524294 TAX524294 TKT524294 TUP524294 UEL524294 UOH524294 UYD524294 VHZ524294 VRV524294 WBR524294 WLN524294 WVJ524294 B589830 IX589830 ST589830 ACP589830 AML589830 AWH589830 BGD589830 BPZ589830 BZV589830 CJR589830 CTN589830 DDJ589830 DNF589830 DXB589830 EGX589830 EQT589830 FAP589830 FKL589830 FUH589830 GED589830 GNZ589830 GXV589830 HHR589830 HRN589830 IBJ589830 ILF589830 IVB589830 JEX589830 JOT589830 JYP589830 KIL589830 KSH589830 LCD589830 LLZ589830 LVV589830 MFR589830 MPN589830 MZJ589830 NJF589830 NTB589830 OCX589830 OMT589830 OWP589830 PGL589830 PQH589830 QAD589830 QJZ589830 QTV589830 RDR589830 RNN589830 RXJ589830 SHF589830 SRB589830 TAX589830 TKT589830 TUP589830 UEL589830 UOH589830 UYD589830 VHZ589830 VRV589830 WBR589830 WLN589830 WVJ589830 B655366 IX655366 ST655366 ACP655366 AML655366 AWH655366 BGD655366 BPZ655366 BZV655366 CJR655366 CTN655366 DDJ655366 DNF655366 DXB655366 EGX655366 EQT655366 FAP655366 FKL655366 FUH655366 GED655366 GNZ655366 GXV655366 HHR655366 HRN655366 IBJ655366 ILF655366 IVB655366 JEX655366 JOT655366 JYP655366 KIL655366 KSH655366 LCD655366 LLZ655366 LVV655366 MFR655366 MPN655366 MZJ655366 NJF655366 NTB655366 OCX655366 OMT655366 OWP655366 PGL655366 PQH655366 QAD655366 QJZ655366 QTV655366 RDR655366 RNN655366 RXJ655366 SHF655366 SRB655366 TAX655366 TKT655366 TUP655366 UEL655366 UOH655366 UYD655366 VHZ655366 VRV655366 WBR655366 WLN655366 WVJ655366 B720902 IX720902 ST720902 ACP720902 AML720902 AWH720902 BGD720902 BPZ720902 BZV720902 CJR720902 CTN720902 DDJ720902 DNF720902 DXB720902 EGX720902 EQT720902 FAP720902 FKL720902 FUH720902 GED720902 GNZ720902 GXV720902 HHR720902 HRN720902 IBJ720902 ILF720902 IVB720902 JEX720902 JOT720902 JYP720902 KIL720902 KSH720902 LCD720902 LLZ720902 LVV720902 MFR720902 MPN720902 MZJ720902 NJF720902 NTB720902 OCX720902 OMT720902 OWP720902 PGL720902 PQH720902 QAD720902 QJZ720902 QTV720902 RDR720902 RNN720902 RXJ720902 SHF720902 SRB720902 TAX720902 TKT720902 TUP720902 UEL720902 UOH720902 UYD720902 VHZ720902 VRV720902 WBR720902 WLN720902 WVJ720902 B786438 IX786438 ST786438 ACP786438 AML786438 AWH786438 BGD786438 BPZ786438 BZV786438 CJR786438 CTN786438 DDJ786438 DNF786438 DXB786438 EGX786438 EQT786438 FAP786438 FKL786438 FUH786438 GED786438 GNZ786438 GXV786438 HHR786438 HRN786438 IBJ786438 ILF786438 IVB786438 JEX786438 JOT786438 JYP786438 KIL786438 KSH786438 LCD786438 LLZ786438 LVV786438 MFR786438 MPN786438 MZJ786438 NJF786438 NTB786438 OCX786438 OMT786438 OWP786438 PGL786438 PQH786438 QAD786438 QJZ786438 QTV786438 RDR786438 RNN786438 RXJ786438 SHF786438 SRB786438 TAX786438 TKT786438 TUP786438 UEL786438 UOH786438 UYD786438 VHZ786438 VRV786438 WBR786438 WLN786438 WVJ786438 B851974 IX851974 ST851974 ACP851974 AML851974 AWH851974 BGD851974 BPZ851974 BZV851974 CJR851974 CTN851974 DDJ851974 DNF851974 DXB851974 EGX851974 EQT851974 FAP851974 FKL851974 FUH851974 GED851974 GNZ851974 GXV851974 HHR851974 HRN851974 IBJ851974 ILF851974 IVB851974 JEX851974 JOT851974 JYP851974 KIL851974 KSH851974 LCD851974 LLZ851974 LVV851974 MFR851974 MPN851974 MZJ851974 NJF851974 NTB851974 OCX851974 OMT851974 OWP851974 PGL851974 PQH851974 QAD851974 QJZ851974 QTV851974 RDR851974 RNN851974 RXJ851974 SHF851974 SRB851974 TAX851974 TKT851974 TUP851974 UEL851974 UOH851974 UYD851974 VHZ851974 VRV851974 WBR851974 WLN851974 WVJ851974 B917510 IX917510 ST917510 ACP917510 AML917510 AWH917510 BGD917510 BPZ917510 BZV917510 CJR917510 CTN917510 DDJ917510 DNF917510 DXB917510 EGX917510 EQT917510 FAP917510 FKL917510 FUH917510 GED917510 GNZ917510 GXV917510 HHR917510 HRN917510 IBJ917510 ILF917510 IVB917510 JEX917510 JOT917510 JYP917510 KIL917510 KSH917510 LCD917510 LLZ917510 LVV917510 MFR917510 MPN917510 MZJ917510 NJF917510 NTB917510 OCX917510 OMT917510 OWP917510 PGL917510 PQH917510 QAD917510 QJZ917510 QTV917510 RDR917510 RNN917510 RXJ917510 SHF917510 SRB917510 TAX917510 TKT917510 TUP917510 UEL917510 UOH917510 UYD917510 VHZ917510 VRV917510 WBR917510 WLN917510 WVJ917510 B983046 IX983046 ST983046 ACP983046 AML983046 AWH983046 BGD983046 BPZ983046 BZV983046 CJR983046 CTN983046 DDJ983046 DNF983046 DXB983046 EGX983046 EQT983046 FAP983046 FKL983046 FUH983046 GED983046 GNZ983046 GXV983046 HHR983046 HRN983046 IBJ983046 ILF983046 IVB983046 JEX983046 JOT983046 JYP983046 KIL983046 KSH983046 LCD983046 LLZ983046 LVV983046 MFR983046 MPN983046 MZJ983046 NJF983046 NTB983046 OCX983046 OMT983046 OWP983046 PGL983046 PQH983046 QAD983046 QJZ983046 QTV983046 RDR983046 RNN983046 RXJ983046 SHF983046 SRB983046 TAX983046 TKT983046 TUP983046 UEL983046 UOH983046 UYD983046 VHZ983046 VRV983046 WBR983046 WLN983046 WVJ983046" xr:uid="{26B42B2B-CCF2-4D22-B045-FE52E89D9948}">
      <formula1>100</formula1>
      <formula2>1200</formula2>
    </dataValidation>
    <dataValidation type="list" operator="equal" allowBlank="1" showErrorMessage="1" sqref="F11 JB11 SX11 ACT11 AMP11 AWL11 BGH11 BQD11 BZZ11 CJV11 CTR11 DDN11 DNJ11 DXF11 EHB11 EQX11 FAT11 FKP11 FUL11 GEH11 GOD11 GXZ11 HHV11 HRR11 IBN11 ILJ11 IVF11 JFB11 JOX11 JYT11 KIP11 KSL11 LCH11 LMD11 LVZ11 MFV11 MPR11 MZN11 NJJ11 NTF11 ODB11 OMX11 OWT11 PGP11 PQL11 QAH11 QKD11 QTZ11 RDV11 RNR11 RXN11 SHJ11 SRF11 TBB11 TKX11 TUT11 UEP11 UOL11 UYH11 VID11 VRZ11 WBV11 WLR11 WVN11 F65547 JB65547 SX65547 ACT65547 AMP65547 AWL65547 BGH65547 BQD65547 BZZ65547 CJV65547 CTR65547 DDN65547 DNJ65547 DXF65547 EHB65547 EQX65547 FAT65547 FKP65547 FUL65547 GEH65547 GOD65547 GXZ65547 HHV65547 HRR65547 IBN65547 ILJ65547 IVF65547 JFB65547 JOX65547 JYT65547 KIP65547 KSL65547 LCH65547 LMD65547 LVZ65547 MFV65547 MPR65547 MZN65547 NJJ65547 NTF65547 ODB65547 OMX65547 OWT65547 PGP65547 PQL65547 QAH65547 QKD65547 QTZ65547 RDV65547 RNR65547 RXN65547 SHJ65547 SRF65547 TBB65547 TKX65547 TUT65547 UEP65547 UOL65547 UYH65547 VID65547 VRZ65547 WBV65547 WLR65547 WVN65547 F131083 JB131083 SX131083 ACT131083 AMP131083 AWL131083 BGH131083 BQD131083 BZZ131083 CJV131083 CTR131083 DDN131083 DNJ131083 DXF131083 EHB131083 EQX131083 FAT131083 FKP131083 FUL131083 GEH131083 GOD131083 GXZ131083 HHV131083 HRR131083 IBN131083 ILJ131083 IVF131083 JFB131083 JOX131083 JYT131083 KIP131083 KSL131083 LCH131083 LMD131083 LVZ131083 MFV131083 MPR131083 MZN131083 NJJ131083 NTF131083 ODB131083 OMX131083 OWT131083 PGP131083 PQL131083 QAH131083 QKD131083 QTZ131083 RDV131083 RNR131083 RXN131083 SHJ131083 SRF131083 TBB131083 TKX131083 TUT131083 UEP131083 UOL131083 UYH131083 VID131083 VRZ131083 WBV131083 WLR131083 WVN131083 F196619 JB196619 SX196619 ACT196619 AMP196619 AWL196619 BGH196619 BQD196619 BZZ196619 CJV196619 CTR196619 DDN196619 DNJ196619 DXF196619 EHB196619 EQX196619 FAT196619 FKP196619 FUL196619 GEH196619 GOD196619 GXZ196619 HHV196619 HRR196619 IBN196619 ILJ196619 IVF196619 JFB196619 JOX196619 JYT196619 KIP196619 KSL196619 LCH196619 LMD196619 LVZ196619 MFV196619 MPR196619 MZN196619 NJJ196619 NTF196619 ODB196619 OMX196619 OWT196619 PGP196619 PQL196619 QAH196619 QKD196619 QTZ196619 RDV196619 RNR196619 RXN196619 SHJ196619 SRF196619 TBB196619 TKX196619 TUT196619 UEP196619 UOL196619 UYH196619 VID196619 VRZ196619 WBV196619 WLR196619 WVN196619 F262155 JB262155 SX262155 ACT262155 AMP262155 AWL262155 BGH262155 BQD262155 BZZ262155 CJV262155 CTR262155 DDN262155 DNJ262155 DXF262155 EHB262155 EQX262155 FAT262155 FKP262155 FUL262155 GEH262155 GOD262155 GXZ262155 HHV262155 HRR262155 IBN262155 ILJ262155 IVF262155 JFB262155 JOX262155 JYT262155 KIP262155 KSL262155 LCH262155 LMD262155 LVZ262155 MFV262155 MPR262155 MZN262155 NJJ262155 NTF262155 ODB262155 OMX262155 OWT262155 PGP262155 PQL262155 QAH262155 QKD262155 QTZ262155 RDV262155 RNR262155 RXN262155 SHJ262155 SRF262155 TBB262155 TKX262155 TUT262155 UEP262155 UOL262155 UYH262155 VID262155 VRZ262155 WBV262155 WLR262155 WVN262155 F327691 JB327691 SX327691 ACT327691 AMP327691 AWL327691 BGH327691 BQD327691 BZZ327691 CJV327691 CTR327691 DDN327691 DNJ327691 DXF327691 EHB327691 EQX327691 FAT327691 FKP327691 FUL327691 GEH327691 GOD327691 GXZ327691 HHV327691 HRR327691 IBN327691 ILJ327691 IVF327691 JFB327691 JOX327691 JYT327691 KIP327691 KSL327691 LCH327691 LMD327691 LVZ327691 MFV327691 MPR327691 MZN327691 NJJ327691 NTF327691 ODB327691 OMX327691 OWT327691 PGP327691 PQL327691 QAH327691 QKD327691 QTZ327691 RDV327691 RNR327691 RXN327691 SHJ327691 SRF327691 TBB327691 TKX327691 TUT327691 UEP327691 UOL327691 UYH327691 VID327691 VRZ327691 WBV327691 WLR327691 WVN327691 F393227 JB393227 SX393227 ACT393227 AMP393227 AWL393227 BGH393227 BQD393227 BZZ393227 CJV393227 CTR393227 DDN393227 DNJ393227 DXF393227 EHB393227 EQX393227 FAT393227 FKP393227 FUL393227 GEH393227 GOD393227 GXZ393227 HHV393227 HRR393227 IBN393227 ILJ393227 IVF393227 JFB393227 JOX393227 JYT393227 KIP393227 KSL393227 LCH393227 LMD393227 LVZ393227 MFV393227 MPR393227 MZN393227 NJJ393227 NTF393227 ODB393227 OMX393227 OWT393227 PGP393227 PQL393227 QAH393227 QKD393227 QTZ393227 RDV393227 RNR393227 RXN393227 SHJ393227 SRF393227 TBB393227 TKX393227 TUT393227 UEP393227 UOL393227 UYH393227 VID393227 VRZ393227 WBV393227 WLR393227 WVN393227 F458763 JB458763 SX458763 ACT458763 AMP458763 AWL458763 BGH458763 BQD458763 BZZ458763 CJV458763 CTR458763 DDN458763 DNJ458763 DXF458763 EHB458763 EQX458763 FAT458763 FKP458763 FUL458763 GEH458763 GOD458763 GXZ458763 HHV458763 HRR458763 IBN458763 ILJ458763 IVF458763 JFB458763 JOX458763 JYT458763 KIP458763 KSL458763 LCH458763 LMD458763 LVZ458763 MFV458763 MPR458763 MZN458763 NJJ458763 NTF458763 ODB458763 OMX458763 OWT458763 PGP458763 PQL458763 QAH458763 QKD458763 QTZ458763 RDV458763 RNR458763 RXN458763 SHJ458763 SRF458763 TBB458763 TKX458763 TUT458763 UEP458763 UOL458763 UYH458763 VID458763 VRZ458763 WBV458763 WLR458763 WVN458763 F524299 JB524299 SX524299 ACT524299 AMP524299 AWL524299 BGH524299 BQD524299 BZZ524299 CJV524299 CTR524299 DDN524299 DNJ524299 DXF524299 EHB524299 EQX524299 FAT524299 FKP524299 FUL524299 GEH524299 GOD524299 GXZ524299 HHV524299 HRR524299 IBN524299 ILJ524299 IVF524299 JFB524299 JOX524299 JYT524299 KIP524299 KSL524299 LCH524299 LMD524299 LVZ524299 MFV524299 MPR524299 MZN524299 NJJ524299 NTF524299 ODB524299 OMX524299 OWT524299 PGP524299 PQL524299 QAH524299 QKD524299 QTZ524299 RDV524299 RNR524299 RXN524299 SHJ524299 SRF524299 TBB524299 TKX524299 TUT524299 UEP524299 UOL524299 UYH524299 VID524299 VRZ524299 WBV524299 WLR524299 WVN524299 F589835 JB589835 SX589835 ACT589835 AMP589835 AWL589835 BGH589835 BQD589835 BZZ589835 CJV589835 CTR589835 DDN589835 DNJ589835 DXF589835 EHB589835 EQX589835 FAT589835 FKP589835 FUL589835 GEH589835 GOD589835 GXZ589835 HHV589835 HRR589835 IBN589835 ILJ589835 IVF589835 JFB589835 JOX589835 JYT589835 KIP589835 KSL589835 LCH589835 LMD589835 LVZ589835 MFV589835 MPR589835 MZN589835 NJJ589835 NTF589835 ODB589835 OMX589835 OWT589835 PGP589835 PQL589835 QAH589835 QKD589835 QTZ589835 RDV589835 RNR589835 RXN589835 SHJ589835 SRF589835 TBB589835 TKX589835 TUT589835 UEP589835 UOL589835 UYH589835 VID589835 VRZ589835 WBV589835 WLR589835 WVN589835 F655371 JB655371 SX655371 ACT655371 AMP655371 AWL655371 BGH655371 BQD655371 BZZ655371 CJV655371 CTR655371 DDN655371 DNJ655371 DXF655371 EHB655371 EQX655371 FAT655371 FKP655371 FUL655371 GEH655371 GOD655371 GXZ655371 HHV655371 HRR655371 IBN655371 ILJ655371 IVF655371 JFB655371 JOX655371 JYT655371 KIP655371 KSL655371 LCH655371 LMD655371 LVZ655371 MFV655371 MPR655371 MZN655371 NJJ655371 NTF655371 ODB655371 OMX655371 OWT655371 PGP655371 PQL655371 QAH655371 QKD655371 QTZ655371 RDV655371 RNR655371 RXN655371 SHJ655371 SRF655371 TBB655371 TKX655371 TUT655371 UEP655371 UOL655371 UYH655371 VID655371 VRZ655371 WBV655371 WLR655371 WVN655371 F720907 JB720907 SX720907 ACT720907 AMP720907 AWL720907 BGH720907 BQD720907 BZZ720907 CJV720907 CTR720907 DDN720907 DNJ720907 DXF720907 EHB720907 EQX720907 FAT720907 FKP720907 FUL720907 GEH720907 GOD720907 GXZ720907 HHV720907 HRR720907 IBN720907 ILJ720907 IVF720907 JFB720907 JOX720907 JYT720907 KIP720907 KSL720907 LCH720907 LMD720907 LVZ720907 MFV720907 MPR720907 MZN720907 NJJ720907 NTF720907 ODB720907 OMX720907 OWT720907 PGP720907 PQL720907 QAH720907 QKD720907 QTZ720907 RDV720907 RNR720907 RXN720907 SHJ720907 SRF720907 TBB720907 TKX720907 TUT720907 UEP720907 UOL720907 UYH720907 VID720907 VRZ720907 WBV720907 WLR720907 WVN720907 F786443 JB786443 SX786443 ACT786443 AMP786443 AWL786443 BGH786443 BQD786443 BZZ786443 CJV786443 CTR786443 DDN786443 DNJ786443 DXF786443 EHB786443 EQX786443 FAT786443 FKP786443 FUL786443 GEH786443 GOD786443 GXZ786443 HHV786443 HRR786443 IBN786443 ILJ786443 IVF786443 JFB786443 JOX786443 JYT786443 KIP786443 KSL786443 LCH786443 LMD786443 LVZ786443 MFV786443 MPR786443 MZN786443 NJJ786443 NTF786443 ODB786443 OMX786443 OWT786443 PGP786443 PQL786443 QAH786443 QKD786443 QTZ786443 RDV786443 RNR786443 RXN786443 SHJ786443 SRF786443 TBB786443 TKX786443 TUT786443 UEP786443 UOL786443 UYH786443 VID786443 VRZ786443 WBV786443 WLR786443 WVN786443 F851979 JB851979 SX851979 ACT851979 AMP851979 AWL851979 BGH851979 BQD851979 BZZ851979 CJV851979 CTR851979 DDN851979 DNJ851979 DXF851979 EHB851979 EQX851979 FAT851979 FKP851979 FUL851979 GEH851979 GOD851979 GXZ851979 HHV851979 HRR851979 IBN851979 ILJ851979 IVF851979 JFB851979 JOX851979 JYT851979 KIP851979 KSL851979 LCH851979 LMD851979 LVZ851979 MFV851979 MPR851979 MZN851979 NJJ851979 NTF851979 ODB851979 OMX851979 OWT851979 PGP851979 PQL851979 QAH851979 QKD851979 QTZ851979 RDV851979 RNR851979 RXN851979 SHJ851979 SRF851979 TBB851979 TKX851979 TUT851979 UEP851979 UOL851979 UYH851979 VID851979 VRZ851979 WBV851979 WLR851979 WVN851979 F917515 JB917515 SX917515 ACT917515 AMP917515 AWL917515 BGH917515 BQD917515 BZZ917515 CJV917515 CTR917515 DDN917515 DNJ917515 DXF917515 EHB917515 EQX917515 FAT917515 FKP917515 FUL917515 GEH917515 GOD917515 GXZ917515 HHV917515 HRR917515 IBN917515 ILJ917515 IVF917515 JFB917515 JOX917515 JYT917515 KIP917515 KSL917515 LCH917515 LMD917515 LVZ917515 MFV917515 MPR917515 MZN917515 NJJ917515 NTF917515 ODB917515 OMX917515 OWT917515 PGP917515 PQL917515 QAH917515 QKD917515 QTZ917515 RDV917515 RNR917515 RXN917515 SHJ917515 SRF917515 TBB917515 TKX917515 TUT917515 UEP917515 UOL917515 UYH917515 VID917515 VRZ917515 WBV917515 WLR917515 WVN917515 F983051 JB983051 SX983051 ACT983051 AMP983051 AWL983051 BGH983051 BQD983051 BZZ983051 CJV983051 CTR983051 DDN983051 DNJ983051 DXF983051 EHB983051 EQX983051 FAT983051 FKP983051 FUL983051 GEH983051 GOD983051 GXZ983051 HHV983051 HRR983051 IBN983051 ILJ983051 IVF983051 JFB983051 JOX983051 JYT983051 KIP983051 KSL983051 LCH983051 LMD983051 LVZ983051 MFV983051 MPR983051 MZN983051 NJJ983051 NTF983051 ODB983051 OMX983051 OWT983051 PGP983051 PQL983051 QAH983051 QKD983051 QTZ983051 RDV983051 RNR983051 RXN983051 SHJ983051 SRF983051 TBB983051 TKX983051 TUT983051 UEP983051 UOL983051 UYH983051 VID983051 VRZ983051 WBV983051 WLR983051 WVN983051" xr:uid="{DD599B5E-053D-4E05-8126-D0A9E8825ED2}">
      <formula1>"400,500"</formula1>
      <formula2>0</formula2>
    </dataValidation>
    <dataValidation type="list" operator="equal" allowBlank="1" showErrorMessage="1" sqref="G9 JC9 SY9 ACU9 AMQ9 AWM9 BGI9 BQE9 CAA9 CJW9 CTS9 DDO9 DNK9 DXG9 EHC9 EQY9 FAU9 FKQ9 FUM9 GEI9 GOE9 GYA9 HHW9 HRS9 IBO9 ILK9 IVG9 JFC9 JOY9 JYU9 KIQ9 KSM9 LCI9 LME9 LWA9 MFW9 MPS9 MZO9 NJK9 NTG9 ODC9 OMY9 OWU9 PGQ9 PQM9 QAI9 QKE9 QUA9 RDW9 RNS9 RXO9 SHK9 SRG9 TBC9 TKY9 TUU9 UEQ9 UOM9 UYI9 VIE9 VSA9 WBW9 WLS9 WVO9 G65545 JC65545 SY65545 ACU65545 AMQ65545 AWM65545 BGI65545 BQE65545 CAA65545 CJW65545 CTS65545 DDO65545 DNK65545 DXG65545 EHC65545 EQY65545 FAU65545 FKQ65545 FUM65545 GEI65545 GOE65545 GYA65545 HHW65545 HRS65545 IBO65545 ILK65545 IVG65545 JFC65545 JOY65545 JYU65545 KIQ65545 KSM65545 LCI65545 LME65545 LWA65545 MFW65545 MPS65545 MZO65545 NJK65545 NTG65545 ODC65545 OMY65545 OWU65545 PGQ65545 PQM65545 QAI65545 QKE65545 QUA65545 RDW65545 RNS65545 RXO65545 SHK65545 SRG65545 TBC65545 TKY65545 TUU65545 UEQ65545 UOM65545 UYI65545 VIE65545 VSA65545 WBW65545 WLS65545 WVO65545 G131081 JC131081 SY131081 ACU131081 AMQ131081 AWM131081 BGI131081 BQE131081 CAA131081 CJW131081 CTS131081 DDO131081 DNK131081 DXG131081 EHC131081 EQY131081 FAU131081 FKQ131081 FUM131081 GEI131081 GOE131081 GYA131081 HHW131081 HRS131081 IBO131081 ILK131081 IVG131081 JFC131081 JOY131081 JYU131081 KIQ131081 KSM131081 LCI131081 LME131081 LWA131081 MFW131081 MPS131081 MZO131081 NJK131081 NTG131081 ODC131081 OMY131081 OWU131081 PGQ131081 PQM131081 QAI131081 QKE131081 QUA131081 RDW131081 RNS131081 RXO131081 SHK131081 SRG131081 TBC131081 TKY131081 TUU131081 UEQ131081 UOM131081 UYI131081 VIE131081 VSA131081 WBW131081 WLS131081 WVO131081 G196617 JC196617 SY196617 ACU196617 AMQ196617 AWM196617 BGI196617 BQE196617 CAA196617 CJW196617 CTS196617 DDO196617 DNK196617 DXG196617 EHC196617 EQY196617 FAU196617 FKQ196617 FUM196617 GEI196617 GOE196617 GYA196617 HHW196617 HRS196617 IBO196617 ILK196617 IVG196617 JFC196617 JOY196617 JYU196617 KIQ196617 KSM196617 LCI196617 LME196617 LWA196617 MFW196617 MPS196617 MZO196617 NJK196617 NTG196617 ODC196617 OMY196617 OWU196617 PGQ196617 PQM196617 QAI196617 QKE196617 QUA196617 RDW196617 RNS196617 RXO196617 SHK196617 SRG196617 TBC196617 TKY196617 TUU196617 UEQ196617 UOM196617 UYI196617 VIE196617 VSA196617 WBW196617 WLS196617 WVO196617 G262153 JC262153 SY262153 ACU262153 AMQ262153 AWM262153 BGI262153 BQE262153 CAA262153 CJW262153 CTS262153 DDO262153 DNK262153 DXG262153 EHC262153 EQY262153 FAU262153 FKQ262153 FUM262153 GEI262153 GOE262153 GYA262153 HHW262153 HRS262153 IBO262153 ILK262153 IVG262153 JFC262153 JOY262153 JYU262153 KIQ262153 KSM262153 LCI262153 LME262153 LWA262153 MFW262153 MPS262153 MZO262153 NJK262153 NTG262153 ODC262153 OMY262153 OWU262153 PGQ262153 PQM262153 QAI262153 QKE262153 QUA262153 RDW262153 RNS262153 RXO262153 SHK262153 SRG262153 TBC262153 TKY262153 TUU262153 UEQ262153 UOM262153 UYI262153 VIE262153 VSA262153 WBW262153 WLS262153 WVO262153 G327689 JC327689 SY327689 ACU327689 AMQ327689 AWM327689 BGI327689 BQE327689 CAA327689 CJW327689 CTS327689 DDO327689 DNK327689 DXG327689 EHC327689 EQY327689 FAU327689 FKQ327689 FUM327689 GEI327689 GOE327689 GYA327689 HHW327689 HRS327689 IBO327689 ILK327689 IVG327689 JFC327689 JOY327689 JYU327689 KIQ327689 KSM327689 LCI327689 LME327689 LWA327689 MFW327689 MPS327689 MZO327689 NJK327689 NTG327689 ODC327689 OMY327689 OWU327689 PGQ327689 PQM327689 QAI327689 QKE327689 QUA327689 RDW327689 RNS327689 RXO327689 SHK327689 SRG327689 TBC327689 TKY327689 TUU327689 UEQ327689 UOM327689 UYI327689 VIE327689 VSA327689 WBW327689 WLS327689 WVO327689 G393225 JC393225 SY393225 ACU393225 AMQ393225 AWM393225 BGI393225 BQE393225 CAA393225 CJW393225 CTS393225 DDO393225 DNK393225 DXG393225 EHC393225 EQY393225 FAU393225 FKQ393225 FUM393225 GEI393225 GOE393225 GYA393225 HHW393225 HRS393225 IBO393225 ILK393225 IVG393225 JFC393225 JOY393225 JYU393225 KIQ393225 KSM393225 LCI393225 LME393225 LWA393225 MFW393225 MPS393225 MZO393225 NJK393225 NTG393225 ODC393225 OMY393225 OWU393225 PGQ393225 PQM393225 QAI393225 QKE393225 QUA393225 RDW393225 RNS393225 RXO393225 SHK393225 SRG393225 TBC393225 TKY393225 TUU393225 UEQ393225 UOM393225 UYI393225 VIE393225 VSA393225 WBW393225 WLS393225 WVO393225 G458761 JC458761 SY458761 ACU458761 AMQ458761 AWM458761 BGI458761 BQE458761 CAA458761 CJW458761 CTS458761 DDO458761 DNK458761 DXG458761 EHC458761 EQY458761 FAU458761 FKQ458761 FUM458761 GEI458761 GOE458761 GYA458761 HHW458761 HRS458761 IBO458761 ILK458761 IVG458761 JFC458761 JOY458761 JYU458761 KIQ458761 KSM458761 LCI458761 LME458761 LWA458761 MFW458761 MPS458761 MZO458761 NJK458761 NTG458761 ODC458761 OMY458761 OWU458761 PGQ458761 PQM458761 QAI458761 QKE458761 QUA458761 RDW458761 RNS458761 RXO458761 SHK458761 SRG458761 TBC458761 TKY458761 TUU458761 UEQ458761 UOM458761 UYI458761 VIE458761 VSA458761 WBW458761 WLS458761 WVO458761 G524297 JC524297 SY524297 ACU524297 AMQ524297 AWM524297 BGI524297 BQE524297 CAA524297 CJW524297 CTS524297 DDO524297 DNK524297 DXG524297 EHC524297 EQY524297 FAU524297 FKQ524297 FUM524297 GEI524297 GOE524297 GYA524297 HHW524297 HRS524297 IBO524297 ILK524297 IVG524297 JFC524297 JOY524297 JYU524297 KIQ524297 KSM524297 LCI524297 LME524297 LWA524297 MFW524297 MPS524297 MZO524297 NJK524297 NTG524297 ODC524297 OMY524297 OWU524297 PGQ524297 PQM524297 QAI524297 QKE524297 QUA524297 RDW524297 RNS524297 RXO524297 SHK524297 SRG524297 TBC524297 TKY524297 TUU524297 UEQ524297 UOM524297 UYI524297 VIE524297 VSA524297 WBW524297 WLS524297 WVO524297 G589833 JC589833 SY589833 ACU589833 AMQ589833 AWM589833 BGI589833 BQE589833 CAA589833 CJW589833 CTS589833 DDO589833 DNK589833 DXG589833 EHC589833 EQY589833 FAU589833 FKQ589833 FUM589833 GEI589833 GOE589833 GYA589833 HHW589833 HRS589833 IBO589833 ILK589833 IVG589833 JFC589833 JOY589833 JYU589833 KIQ589833 KSM589833 LCI589833 LME589833 LWA589833 MFW589833 MPS589833 MZO589833 NJK589833 NTG589833 ODC589833 OMY589833 OWU589833 PGQ589833 PQM589833 QAI589833 QKE589833 QUA589833 RDW589833 RNS589833 RXO589833 SHK589833 SRG589833 TBC589833 TKY589833 TUU589833 UEQ589833 UOM589833 UYI589833 VIE589833 VSA589833 WBW589833 WLS589833 WVO589833 G655369 JC655369 SY655369 ACU655369 AMQ655369 AWM655369 BGI655369 BQE655369 CAA655369 CJW655369 CTS655369 DDO655369 DNK655369 DXG655369 EHC655369 EQY655369 FAU655369 FKQ655369 FUM655369 GEI655369 GOE655369 GYA655369 HHW655369 HRS655369 IBO655369 ILK655369 IVG655369 JFC655369 JOY655369 JYU655369 KIQ655369 KSM655369 LCI655369 LME655369 LWA655369 MFW655369 MPS655369 MZO655369 NJK655369 NTG655369 ODC655369 OMY655369 OWU655369 PGQ655369 PQM655369 QAI655369 QKE655369 QUA655369 RDW655369 RNS655369 RXO655369 SHK655369 SRG655369 TBC655369 TKY655369 TUU655369 UEQ655369 UOM655369 UYI655369 VIE655369 VSA655369 WBW655369 WLS655369 WVO655369 G720905 JC720905 SY720905 ACU720905 AMQ720905 AWM720905 BGI720905 BQE720905 CAA720905 CJW720905 CTS720905 DDO720905 DNK720905 DXG720905 EHC720905 EQY720905 FAU720905 FKQ720905 FUM720905 GEI720905 GOE720905 GYA720905 HHW720905 HRS720905 IBO720905 ILK720905 IVG720905 JFC720905 JOY720905 JYU720905 KIQ720905 KSM720905 LCI720905 LME720905 LWA720905 MFW720905 MPS720905 MZO720905 NJK720905 NTG720905 ODC720905 OMY720905 OWU720905 PGQ720905 PQM720905 QAI720905 QKE720905 QUA720905 RDW720905 RNS720905 RXO720905 SHK720905 SRG720905 TBC720905 TKY720905 TUU720905 UEQ720905 UOM720905 UYI720905 VIE720905 VSA720905 WBW720905 WLS720905 WVO720905 G786441 JC786441 SY786441 ACU786441 AMQ786441 AWM786441 BGI786441 BQE786441 CAA786441 CJW786441 CTS786441 DDO786441 DNK786441 DXG786441 EHC786441 EQY786441 FAU786441 FKQ786441 FUM786441 GEI786441 GOE786441 GYA786441 HHW786441 HRS786441 IBO786441 ILK786441 IVG786441 JFC786441 JOY786441 JYU786441 KIQ786441 KSM786441 LCI786441 LME786441 LWA786441 MFW786441 MPS786441 MZO786441 NJK786441 NTG786441 ODC786441 OMY786441 OWU786441 PGQ786441 PQM786441 QAI786441 QKE786441 QUA786441 RDW786441 RNS786441 RXO786441 SHK786441 SRG786441 TBC786441 TKY786441 TUU786441 UEQ786441 UOM786441 UYI786441 VIE786441 VSA786441 WBW786441 WLS786441 WVO786441 G851977 JC851977 SY851977 ACU851977 AMQ851977 AWM851977 BGI851977 BQE851977 CAA851977 CJW851977 CTS851977 DDO851977 DNK851977 DXG851977 EHC851977 EQY851977 FAU851977 FKQ851977 FUM851977 GEI851977 GOE851977 GYA851977 HHW851977 HRS851977 IBO851977 ILK851977 IVG851977 JFC851977 JOY851977 JYU851977 KIQ851977 KSM851977 LCI851977 LME851977 LWA851977 MFW851977 MPS851977 MZO851977 NJK851977 NTG851977 ODC851977 OMY851977 OWU851977 PGQ851977 PQM851977 QAI851977 QKE851977 QUA851977 RDW851977 RNS851977 RXO851977 SHK851977 SRG851977 TBC851977 TKY851977 TUU851977 UEQ851977 UOM851977 UYI851977 VIE851977 VSA851977 WBW851977 WLS851977 WVO851977 G917513 JC917513 SY917513 ACU917513 AMQ917513 AWM917513 BGI917513 BQE917513 CAA917513 CJW917513 CTS917513 DDO917513 DNK917513 DXG917513 EHC917513 EQY917513 FAU917513 FKQ917513 FUM917513 GEI917513 GOE917513 GYA917513 HHW917513 HRS917513 IBO917513 ILK917513 IVG917513 JFC917513 JOY917513 JYU917513 KIQ917513 KSM917513 LCI917513 LME917513 LWA917513 MFW917513 MPS917513 MZO917513 NJK917513 NTG917513 ODC917513 OMY917513 OWU917513 PGQ917513 PQM917513 QAI917513 QKE917513 QUA917513 RDW917513 RNS917513 RXO917513 SHK917513 SRG917513 TBC917513 TKY917513 TUU917513 UEQ917513 UOM917513 UYI917513 VIE917513 VSA917513 WBW917513 WLS917513 WVO917513 G983049 JC983049 SY983049 ACU983049 AMQ983049 AWM983049 BGI983049 BQE983049 CAA983049 CJW983049 CTS983049 DDO983049 DNK983049 DXG983049 EHC983049 EQY983049 FAU983049 FKQ983049 FUM983049 GEI983049 GOE983049 GYA983049 HHW983049 HRS983049 IBO983049 ILK983049 IVG983049 JFC983049 JOY983049 JYU983049 KIQ983049 KSM983049 LCI983049 LME983049 LWA983049 MFW983049 MPS983049 MZO983049 NJK983049 NTG983049 ODC983049 OMY983049 OWU983049 PGQ983049 PQM983049 QAI983049 QKE983049 QUA983049 RDW983049 RNS983049 RXO983049 SHK983049 SRG983049 TBC983049 TKY983049 TUU983049 UEQ983049 UOM983049 UYI983049 VIE983049 VSA983049 WBW983049 WLS983049 WVO983049" xr:uid="{98D5A1D2-DA90-443C-9B22-BA355B3D21D7}">
      <mc:AlternateContent xmlns:x12ac="http://schemas.microsoft.com/office/spreadsheetml/2011/1/ac" xmlns:mc="http://schemas.openxmlformats.org/markup-compatibility/2006">
        <mc:Choice Requires="x12ac">
          <x12ac:list>1,"1,3","1,35","1,4","1,5"</x12ac:list>
        </mc:Choice>
        <mc:Fallback>
          <formula1>"1,1,3,1,35,1,4,1,5"</formula1>
        </mc:Fallback>
      </mc:AlternateContent>
    </dataValidation>
    <dataValidation type="list" operator="equal" allowBlank="1" showErrorMessage="1" sqref="G11 JC11 SY11 ACU11 AMQ11 AWM11 BGI11 BQE11 CAA11 CJW11 CTS11 DDO11 DNK11 DXG11 EHC11 EQY11 FAU11 FKQ11 FUM11 GEI11 GOE11 GYA11 HHW11 HRS11 IBO11 ILK11 IVG11 JFC11 JOY11 JYU11 KIQ11 KSM11 LCI11 LME11 LWA11 MFW11 MPS11 MZO11 NJK11 NTG11 ODC11 OMY11 OWU11 PGQ11 PQM11 QAI11 QKE11 QUA11 RDW11 RNS11 RXO11 SHK11 SRG11 TBC11 TKY11 TUU11 UEQ11 UOM11 UYI11 VIE11 VSA11 WBW11 WLS11 WVO11 G65547 JC65547 SY65547 ACU65547 AMQ65547 AWM65547 BGI65547 BQE65547 CAA65547 CJW65547 CTS65547 DDO65547 DNK65547 DXG65547 EHC65547 EQY65547 FAU65547 FKQ65547 FUM65547 GEI65547 GOE65547 GYA65547 HHW65547 HRS65547 IBO65547 ILK65547 IVG65547 JFC65547 JOY65547 JYU65547 KIQ65547 KSM65547 LCI65547 LME65547 LWA65547 MFW65547 MPS65547 MZO65547 NJK65547 NTG65547 ODC65547 OMY65547 OWU65547 PGQ65547 PQM65547 QAI65547 QKE65547 QUA65547 RDW65547 RNS65547 RXO65547 SHK65547 SRG65547 TBC65547 TKY65547 TUU65547 UEQ65547 UOM65547 UYI65547 VIE65547 VSA65547 WBW65547 WLS65547 WVO65547 G131083 JC131083 SY131083 ACU131083 AMQ131083 AWM131083 BGI131083 BQE131083 CAA131083 CJW131083 CTS131083 DDO131083 DNK131083 DXG131083 EHC131083 EQY131083 FAU131083 FKQ131083 FUM131083 GEI131083 GOE131083 GYA131083 HHW131083 HRS131083 IBO131083 ILK131083 IVG131083 JFC131083 JOY131083 JYU131083 KIQ131083 KSM131083 LCI131083 LME131083 LWA131083 MFW131083 MPS131083 MZO131083 NJK131083 NTG131083 ODC131083 OMY131083 OWU131083 PGQ131083 PQM131083 QAI131083 QKE131083 QUA131083 RDW131083 RNS131083 RXO131083 SHK131083 SRG131083 TBC131083 TKY131083 TUU131083 UEQ131083 UOM131083 UYI131083 VIE131083 VSA131083 WBW131083 WLS131083 WVO131083 G196619 JC196619 SY196619 ACU196619 AMQ196619 AWM196619 BGI196619 BQE196619 CAA196619 CJW196619 CTS196619 DDO196619 DNK196619 DXG196619 EHC196619 EQY196619 FAU196619 FKQ196619 FUM196619 GEI196619 GOE196619 GYA196619 HHW196619 HRS196619 IBO196619 ILK196619 IVG196619 JFC196619 JOY196619 JYU196619 KIQ196619 KSM196619 LCI196619 LME196619 LWA196619 MFW196619 MPS196619 MZO196619 NJK196619 NTG196619 ODC196619 OMY196619 OWU196619 PGQ196619 PQM196619 QAI196619 QKE196619 QUA196619 RDW196619 RNS196619 RXO196619 SHK196619 SRG196619 TBC196619 TKY196619 TUU196619 UEQ196619 UOM196619 UYI196619 VIE196619 VSA196619 WBW196619 WLS196619 WVO196619 G262155 JC262155 SY262155 ACU262155 AMQ262155 AWM262155 BGI262155 BQE262155 CAA262155 CJW262155 CTS262155 DDO262155 DNK262155 DXG262155 EHC262155 EQY262155 FAU262155 FKQ262155 FUM262155 GEI262155 GOE262155 GYA262155 HHW262155 HRS262155 IBO262155 ILK262155 IVG262155 JFC262155 JOY262155 JYU262155 KIQ262155 KSM262155 LCI262155 LME262155 LWA262155 MFW262155 MPS262155 MZO262155 NJK262155 NTG262155 ODC262155 OMY262155 OWU262155 PGQ262155 PQM262155 QAI262155 QKE262155 QUA262155 RDW262155 RNS262155 RXO262155 SHK262155 SRG262155 TBC262155 TKY262155 TUU262155 UEQ262155 UOM262155 UYI262155 VIE262155 VSA262155 WBW262155 WLS262155 WVO262155 G327691 JC327691 SY327691 ACU327691 AMQ327691 AWM327691 BGI327691 BQE327691 CAA327691 CJW327691 CTS327691 DDO327691 DNK327691 DXG327691 EHC327691 EQY327691 FAU327691 FKQ327691 FUM327691 GEI327691 GOE327691 GYA327691 HHW327691 HRS327691 IBO327691 ILK327691 IVG327691 JFC327691 JOY327691 JYU327691 KIQ327691 KSM327691 LCI327691 LME327691 LWA327691 MFW327691 MPS327691 MZO327691 NJK327691 NTG327691 ODC327691 OMY327691 OWU327691 PGQ327691 PQM327691 QAI327691 QKE327691 QUA327691 RDW327691 RNS327691 RXO327691 SHK327691 SRG327691 TBC327691 TKY327691 TUU327691 UEQ327691 UOM327691 UYI327691 VIE327691 VSA327691 WBW327691 WLS327691 WVO327691 G393227 JC393227 SY393227 ACU393227 AMQ393227 AWM393227 BGI393227 BQE393227 CAA393227 CJW393227 CTS393227 DDO393227 DNK393227 DXG393227 EHC393227 EQY393227 FAU393227 FKQ393227 FUM393227 GEI393227 GOE393227 GYA393227 HHW393227 HRS393227 IBO393227 ILK393227 IVG393227 JFC393227 JOY393227 JYU393227 KIQ393227 KSM393227 LCI393227 LME393227 LWA393227 MFW393227 MPS393227 MZO393227 NJK393227 NTG393227 ODC393227 OMY393227 OWU393227 PGQ393227 PQM393227 QAI393227 QKE393227 QUA393227 RDW393227 RNS393227 RXO393227 SHK393227 SRG393227 TBC393227 TKY393227 TUU393227 UEQ393227 UOM393227 UYI393227 VIE393227 VSA393227 WBW393227 WLS393227 WVO393227 G458763 JC458763 SY458763 ACU458763 AMQ458763 AWM458763 BGI458763 BQE458763 CAA458763 CJW458763 CTS458763 DDO458763 DNK458763 DXG458763 EHC458763 EQY458763 FAU458763 FKQ458763 FUM458763 GEI458763 GOE458763 GYA458763 HHW458763 HRS458763 IBO458763 ILK458763 IVG458763 JFC458763 JOY458763 JYU458763 KIQ458763 KSM458763 LCI458763 LME458763 LWA458763 MFW458763 MPS458763 MZO458763 NJK458763 NTG458763 ODC458763 OMY458763 OWU458763 PGQ458763 PQM458763 QAI458763 QKE458763 QUA458763 RDW458763 RNS458763 RXO458763 SHK458763 SRG458763 TBC458763 TKY458763 TUU458763 UEQ458763 UOM458763 UYI458763 VIE458763 VSA458763 WBW458763 WLS458763 WVO458763 G524299 JC524299 SY524299 ACU524299 AMQ524299 AWM524299 BGI524299 BQE524299 CAA524299 CJW524299 CTS524299 DDO524299 DNK524299 DXG524299 EHC524299 EQY524299 FAU524299 FKQ524299 FUM524299 GEI524299 GOE524299 GYA524299 HHW524299 HRS524299 IBO524299 ILK524299 IVG524299 JFC524299 JOY524299 JYU524299 KIQ524299 KSM524299 LCI524299 LME524299 LWA524299 MFW524299 MPS524299 MZO524299 NJK524299 NTG524299 ODC524299 OMY524299 OWU524299 PGQ524299 PQM524299 QAI524299 QKE524299 QUA524299 RDW524299 RNS524299 RXO524299 SHK524299 SRG524299 TBC524299 TKY524299 TUU524299 UEQ524299 UOM524299 UYI524299 VIE524299 VSA524299 WBW524299 WLS524299 WVO524299 G589835 JC589835 SY589835 ACU589835 AMQ589835 AWM589835 BGI589835 BQE589835 CAA589835 CJW589835 CTS589835 DDO589835 DNK589835 DXG589835 EHC589835 EQY589835 FAU589835 FKQ589835 FUM589835 GEI589835 GOE589835 GYA589835 HHW589835 HRS589835 IBO589835 ILK589835 IVG589835 JFC589835 JOY589835 JYU589835 KIQ589835 KSM589835 LCI589835 LME589835 LWA589835 MFW589835 MPS589835 MZO589835 NJK589835 NTG589835 ODC589835 OMY589835 OWU589835 PGQ589835 PQM589835 QAI589835 QKE589835 QUA589835 RDW589835 RNS589835 RXO589835 SHK589835 SRG589835 TBC589835 TKY589835 TUU589835 UEQ589835 UOM589835 UYI589835 VIE589835 VSA589835 WBW589835 WLS589835 WVO589835 G655371 JC655371 SY655371 ACU655371 AMQ655371 AWM655371 BGI655371 BQE655371 CAA655371 CJW655371 CTS655371 DDO655371 DNK655371 DXG655371 EHC655371 EQY655371 FAU655371 FKQ655371 FUM655371 GEI655371 GOE655371 GYA655371 HHW655371 HRS655371 IBO655371 ILK655371 IVG655371 JFC655371 JOY655371 JYU655371 KIQ655371 KSM655371 LCI655371 LME655371 LWA655371 MFW655371 MPS655371 MZO655371 NJK655371 NTG655371 ODC655371 OMY655371 OWU655371 PGQ655371 PQM655371 QAI655371 QKE655371 QUA655371 RDW655371 RNS655371 RXO655371 SHK655371 SRG655371 TBC655371 TKY655371 TUU655371 UEQ655371 UOM655371 UYI655371 VIE655371 VSA655371 WBW655371 WLS655371 WVO655371 G720907 JC720907 SY720907 ACU720907 AMQ720907 AWM720907 BGI720907 BQE720907 CAA720907 CJW720907 CTS720907 DDO720907 DNK720907 DXG720907 EHC720907 EQY720907 FAU720907 FKQ720907 FUM720907 GEI720907 GOE720907 GYA720907 HHW720907 HRS720907 IBO720907 ILK720907 IVG720907 JFC720907 JOY720907 JYU720907 KIQ720907 KSM720907 LCI720907 LME720907 LWA720907 MFW720907 MPS720907 MZO720907 NJK720907 NTG720907 ODC720907 OMY720907 OWU720907 PGQ720907 PQM720907 QAI720907 QKE720907 QUA720907 RDW720907 RNS720907 RXO720907 SHK720907 SRG720907 TBC720907 TKY720907 TUU720907 UEQ720907 UOM720907 UYI720907 VIE720907 VSA720907 WBW720907 WLS720907 WVO720907 G786443 JC786443 SY786443 ACU786443 AMQ786443 AWM786443 BGI786443 BQE786443 CAA786443 CJW786443 CTS786443 DDO786443 DNK786443 DXG786443 EHC786443 EQY786443 FAU786443 FKQ786443 FUM786443 GEI786443 GOE786443 GYA786443 HHW786443 HRS786443 IBO786443 ILK786443 IVG786443 JFC786443 JOY786443 JYU786443 KIQ786443 KSM786443 LCI786443 LME786443 LWA786443 MFW786443 MPS786443 MZO786443 NJK786443 NTG786443 ODC786443 OMY786443 OWU786443 PGQ786443 PQM786443 QAI786443 QKE786443 QUA786443 RDW786443 RNS786443 RXO786443 SHK786443 SRG786443 TBC786443 TKY786443 TUU786443 UEQ786443 UOM786443 UYI786443 VIE786443 VSA786443 WBW786443 WLS786443 WVO786443 G851979 JC851979 SY851979 ACU851979 AMQ851979 AWM851979 BGI851979 BQE851979 CAA851979 CJW851979 CTS851979 DDO851979 DNK851979 DXG851979 EHC851979 EQY851979 FAU851979 FKQ851979 FUM851979 GEI851979 GOE851979 GYA851979 HHW851979 HRS851979 IBO851979 ILK851979 IVG851979 JFC851979 JOY851979 JYU851979 KIQ851979 KSM851979 LCI851979 LME851979 LWA851979 MFW851979 MPS851979 MZO851979 NJK851979 NTG851979 ODC851979 OMY851979 OWU851979 PGQ851979 PQM851979 QAI851979 QKE851979 QUA851979 RDW851979 RNS851979 RXO851979 SHK851979 SRG851979 TBC851979 TKY851979 TUU851979 UEQ851979 UOM851979 UYI851979 VIE851979 VSA851979 WBW851979 WLS851979 WVO851979 G917515 JC917515 SY917515 ACU917515 AMQ917515 AWM917515 BGI917515 BQE917515 CAA917515 CJW917515 CTS917515 DDO917515 DNK917515 DXG917515 EHC917515 EQY917515 FAU917515 FKQ917515 FUM917515 GEI917515 GOE917515 GYA917515 HHW917515 HRS917515 IBO917515 ILK917515 IVG917515 JFC917515 JOY917515 JYU917515 KIQ917515 KSM917515 LCI917515 LME917515 LWA917515 MFW917515 MPS917515 MZO917515 NJK917515 NTG917515 ODC917515 OMY917515 OWU917515 PGQ917515 PQM917515 QAI917515 QKE917515 QUA917515 RDW917515 RNS917515 RXO917515 SHK917515 SRG917515 TBC917515 TKY917515 TUU917515 UEQ917515 UOM917515 UYI917515 VIE917515 VSA917515 WBW917515 WLS917515 WVO917515 G983051 JC983051 SY983051 ACU983051 AMQ983051 AWM983051 BGI983051 BQE983051 CAA983051 CJW983051 CTS983051 DDO983051 DNK983051 DXG983051 EHC983051 EQY983051 FAU983051 FKQ983051 FUM983051 GEI983051 GOE983051 GYA983051 HHW983051 HRS983051 IBO983051 ILK983051 IVG983051 JFC983051 JOY983051 JYU983051 KIQ983051 KSM983051 LCI983051 LME983051 LWA983051 MFW983051 MPS983051 MZO983051 NJK983051 NTG983051 ODC983051 OMY983051 OWU983051 PGQ983051 PQM983051 QAI983051 QKE983051 QUA983051 RDW983051 RNS983051 RXO983051 SHK983051 SRG983051 TBC983051 TKY983051 TUU983051 UEQ983051 UOM983051 UYI983051 VIE983051 VSA983051 WBW983051 WLS983051 WVO983051" xr:uid="{8E904FED-2405-4535-AB75-10261FDDAF9B}">
      <mc:AlternateContent xmlns:x12ac="http://schemas.microsoft.com/office/spreadsheetml/2011/1/ac" xmlns:mc="http://schemas.openxmlformats.org/markup-compatibility/2006">
        <mc:Choice Requires="x12ac">
          <x12ac:list>1,"1,1","1,15"</x12ac:list>
        </mc:Choice>
        <mc:Fallback>
          <formula1>"1,1,1,1,15"</formula1>
        </mc:Fallback>
      </mc:AlternateContent>
    </dataValidation>
    <dataValidation type="list" operator="equal" allowBlank="1" showErrorMessage="1" sqref="F9 JB9 SX9 ACT9 AMP9 AWL9 BGH9 BQD9 BZZ9 CJV9 CTR9 DDN9 DNJ9 DXF9 EHB9 EQX9 FAT9 FKP9 FUL9 GEH9 GOD9 GXZ9 HHV9 HRR9 IBN9 ILJ9 IVF9 JFB9 JOX9 JYT9 KIP9 KSL9 LCH9 LMD9 LVZ9 MFV9 MPR9 MZN9 NJJ9 NTF9 ODB9 OMX9 OWT9 PGP9 PQL9 QAH9 QKD9 QTZ9 RDV9 RNR9 RXN9 SHJ9 SRF9 TBB9 TKX9 TUT9 UEP9 UOL9 UYH9 VID9 VRZ9 WBV9 WLR9 WVN9 F65545 JB65545 SX65545 ACT65545 AMP65545 AWL65545 BGH65545 BQD65545 BZZ65545 CJV65545 CTR65545 DDN65545 DNJ65545 DXF65545 EHB65545 EQX65545 FAT65545 FKP65545 FUL65545 GEH65545 GOD65545 GXZ65545 HHV65545 HRR65545 IBN65545 ILJ65545 IVF65545 JFB65545 JOX65545 JYT65545 KIP65545 KSL65545 LCH65545 LMD65545 LVZ65545 MFV65545 MPR65545 MZN65545 NJJ65545 NTF65545 ODB65545 OMX65545 OWT65545 PGP65545 PQL65545 QAH65545 QKD65545 QTZ65545 RDV65545 RNR65545 RXN65545 SHJ65545 SRF65545 TBB65545 TKX65545 TUT65545 UEP65545 UOL65545 UYH65545 VID65545 VRZ65545 WBV65545 WLR65545 WVN65545 F131081 JB131081 SX131081 ACT131081 AMP131081 AWL131081 BGH131081 BQD131081 BZZ131081 CJV131081 CTR131081 DDN131081 DNJ131081 DXF131081 EHB131081 EQX131081 FAT131081 FKP131081 FUL131081 GEH131081 GOD131081 GXZ131081 HHV131081 HRR131081 IBN131081 ILJ131081 IVF131081 JFB131081 JOX131081 JYT131081 KIP131081 KSL131081 LCH131081 LMD131081 LVZ131081 MFV131081 MPR131081 MZN131081 NJJ131081 NTF131081 ODB131081 OMX131081 OWT131081 PGP131081 PQL131081 QAH131081 QKD131081 QTZ131081 RDV131081 RNR131081 RXN131081 SHJ131081 SRF131081 TBB131081 TKX131081 TUT131081 UEP131081 UOL131081 UYH131081 VID131081 VRZ131081 WBV131081 WLR131081 WVN131081 F196617 JB196617 SX196617 ACT196617 AMP196617 AWL196617 BGH196617 BQD196617 BZZ196617 CJV196617 CTR196617 DDN196617 DNJ196617 DXF196617 EHB196617 EQX196617 FAT196617 FKP196617 FUL196617 GEH196617 GOD196617 GXZ196617 HHV196617 HRR196617 IBN196617 ILJ196617 IVF196617 JFB196617 JOX196617 JYT196617 KIP196617 KSL196617 LCH196617 LMD196617 LVZ196617 MFV196617 MPR196617 MZN196617 NJJ196617 NTF196617 ODB196617 OMX196617 OWT196617 PGP196617 PQL196617 QAH196617 QKD196617 QTZ196617 RDV196617 RNR196617 RXN196617 SHJ196617 SRF196617 TBB196617 TKX196617 TUT196617 UEP196617 UOL196617 UYH196617 VID196617 VRZ196617 WBV196617 WLR196617 WVN196617 F262153 JB262153 SX262153 ACT262153 AMP262153 AWL262153 BGH262153 BQD262153 BZZ262153 CJV262153 CTR262153 DDN262153 DNJ262153 DXF262153 EHB262153 EQX262153 FAT262153 FKP262153 FUL262153 GEH262153 GOD262153 GXZ262153 HHV262153 HRR262153 IBN262153 ILJ262153 IVF262153 JFB262153 JOX262153 JYT262153 KIP262153 KSL262153 LCH262153 LMD262153 LVZ262153 MFV262153 MPR262153 MZN262153 NJJ262153 NTF262153 ODB262153 OMX262153 OWT262153 PGP262153 PQL262153 QAH262153 QKD262153 QTZ262153 RDV262153 RNR262153 RXN262153 SHJ262153 SRF262153 TBB262153 TKX262153 TUT262153 UEP262153 UOL262153 UYH262153 VID262153 VRZ262153 WBV262153 WLR262153 WVN262153 F327689 JB327689 SX327689 ACT327689 AMP327689 AWL327689 BGH327689 BQD327689 BZZ327689 CJV327689 CTR327689 DDN327689 DNJ327689 DXF327689 EHB327689 EQX327689 FAT327689 FKP327689 FUL327689 GEH327689 GOD327689 GXZ327689 HHV327689 HRR327689 IBN327689 ILJ327689 IVF327689 JFB327689 JOX327689 JYT327689 KIP327689 KSL327689 LCH327689 LMD327689 LVZ327689 MFV327689 MPR327689 MZN327689 NJJ327689 NTF327689 ODB327689 OMX327689 OWT327689 PGP327689 PQL327689 QAH327689 QKD327689 QTZ327689 RDV327689 RNR327689 RXN327689 SHJ327689 SRF327689 TBB327689 TKX327689 TUT327689 UEP327689 UOL327689 UYH327689 VID327689 VRZ327689 WBV327689 WLR327689 WVN327689 F393225 JB393225 SX393225 ACT393225 AMP393225 AWL393225 BGH393225 BQD393225 BZZ393225 CJV393225 CTR393225 DDN393225 DNJ393225 DXF393225 EHB393225 EQX393225 FAT393225 FKP393225 FUL393225 GEH393225 GOD393225 GXZ393225 HHV393225 HRR393225 IBN393225 ILJ393225 IVF393225 JFB393225 JOX393225 JYT393225 KIP393225 KSL393225 LCH393225 LMD393225 LVZ393225 MFV393225 MPR393225 MZN393225 NJJ393225 NTF393225 ODB393225 OMX393225 OWT393225 PGP393225 PQL393225 QAH393225 QKD393225 QTZ393225 RDV393225 RNR393225 RXN393225 SHJ393225 SRF393225 TBB393225 TKX393225 TUT393225 UEP393225 UOL393225 UYH393225 VID393225 VRZ393225 WBV393225 WLR393225 WVN393225 F458761 JB458761 SX458761 ACT458761 AMP458761 AWL458761 BGH458761 BQD458761 BZZ458761 CJV458761 CTR458761 DDN458761 DNJ458761 DXF458761 EHB458761 EQX458761 FAT458761 FKP458761 FUL458761 GEH458761 GOD458761 GXZ458761 HHV458761 HRR458761 IBN458761 ILJ458761 IVF458761 JFB458761 JOX458761 JYT458761 KIP458761 KSL458761 LCH458761 LMD458761 LVZ458761 MFV458761 MPR458761 MZN458761 NJJ458761 NTF458761 ODB458761 OMX458761 OWT458761 PGP458761 PQL458761 QAH458761 QKD458761 QTZ458761 RDV458761 RNR458761 RXN458761 SHJ458761 SRF458761 TBB458761 TKX458761 TUT458761 UEP458761 UOL458761 UYH458761 VID458761 VRZ458761 WBV458761 WLR458761 WVN458761 F524297 JB524297 SX524297 ACT524297 AMP524297 AWL524297 BGH524297 BQD524297 BZZ524297 CJV524297 CTR524297 DDN524297 DNJ524297 DXF524297 EHB524297 EQX524297 FAT524297 FKP524297 FUL524297 GEH524297 GOD524297 GXZ524297 HHV524297 HRR524297 IBN524297 ILJ524297 IVF524297 JFB524297 JOX524297 JYT524297 KIP524297 KSL524297 LCH524297 LMD524297 LVZ524297 MFV524297 MPR524297 MZN524297 NJJ524297 NTF524297 ODB524297 OMX524297 OWT524297 PGP524297 PQL524297 QAH524297 QKD524297 QTZ524297 RDV524297 RNR524297 RXN524297 SHJ524297 SRF524297 TBB524297 TKX524297 TUT524297 UEP524297 UOL524297 UYH524297 VID524297 VRZ524297 WBV524297 WLR524297 WVN524297 F589833 JB589833 SX589833 ACT589833 AMP589833 AWL589833 BGH589833 BQD589833 BZZ589833 CJV589833 CTR589833 DDN589833 DNJ589833 DXF589833 EHB589833 EQX589833 FAT589833 FKP589833 FUL589833 GEH589833 GOD589833 GXZ589833 HHV589833 HRR589833 IBN589833 ILJ589833 IVF589833 JFB589833 JOX589833 JYT589833 KIP589833 KSL589833 LCH589833 LMD589833 LVZ589833 MFV589833 MPR589833 MZN589833 NJJ589833 NTF589833 ODB589833 OMX589833 OWT589833 PGP589833 PQL589833 QAH589833 QKD589833 QTZ589833 RDV589833 RNR589833 RXN589833 SHJ589833 SRF589833 TBB589833 TKX589833 TUT589833 UEP589833 UOL589833 UYH589833 VID589833 VRZ589833 WBV589833 WLR589833 WVN589833 F655369 JB655369 SX655369 ACT655369 AMP655369 AWL655369 BGH655369 BQD655369 BZZ655369 CJV655369 CTR655369 DDN655369 DNJ655369 DXF655369 EHB655369 EQX655369 FAT655369 FKP655369 FUL655369 GEH655369 GOD655369 GXZ655369 HHV655369 HRR655369 IBN655369 ILJ655369 IVF655369 JFB655369 JOX655369 JYT655369 KIP655369 KSL655369 LCH655369 LMD655369 LVZ655369 MFV655369 MPR655369 MZN655369 NJJ655369 NTF655369 ODB655369 OMX655369 OWT655369 PGP655369 PQL655369 QAH655369 QKD655369 QTZ655369 RDV655369 RNR655369 RXN655369 SHJ655369 SRF655369 TBB655369 TKX655369 TUT655369 UEP655369 UOL655369 UYH655369 VID655369 VRZ655369 WBV655369 WLR655369 WVN655369 F720905 JB720905 SX720905 ACT720905 AMP720905 AWL720905 BGH720905 BQD720905 BZZ720905 CJV720905 CTR720905 DDN720905 DNJ720905 DXF720905 EHB720905 EQX720905 FAT720905 FKP720905 FUL720905 GEH720905 GOD720905 GXZ720905 HHV720905 HRR720905 IBN720905 ILJ720905 IVF720905 JFB720905 JOX720905 JYT720905 KIP720905 KSL720905 LCH720905 LMD720905 LVZ720905 MFV720905 MPR720905 MZN720905 NJJ720905 NTF720905 ODB720905 OMX720905 OWT720905 PGP720905 PQL720905 QAH720905 QKD720905 QTZ720905 RDV720905 RNR720905 RXN720905 SHJ720905 SRF720905 TBB720905 TKX720905 TUT720905 UEP720905 UOL720905 UYH720905 VID720905 VRZ720905 WBV720905 WLR720905 WVN720905 F786441 JB786441 SX786441 ACT786441 AMP786441 AWL786441 BGH786441 BQD786441 BZZ786441 CJV786441 CTR786441 DDN786441 DNJ786441 DXF786441 EHB786441 EQX786441 FAT786441 FKP786441 FUL786441 GEH786441 GOD786441 GXZ786441 HHV786441 HRR786441 IBN786441 ILJ786441 IVF786441 JFB786441 JOX786441 JYT786441 KIP786441 KSL786441 LCH786441 LMD786441 LVZ786441 MFV786441 MPR786441 MZN786441 NJJ786441 NTF786441 ODB786441 OMX786441 OWT786441 PGP786441 PQL786441 QAH786441 QKD786441 QTZ786441 RDV786441 RNR786441 RXN786441 SHJ786441 SRF786441 TBB786441 TKX786441 TUT786441 UEP786441 UOL786441 UYH786441 VID786441 VRZ786441 WBV786441 WLR786441 WVN786441 F851977 JB851977 SX851977 ACT851977 AMP851977 AWL851977 BGH851977 BQD851977 BZZ851977 CJV851977 CTR851977 DDN851977 DNJ851977 DXF851977 EHB851977 EQX851977 FAT851977 FKP851977 FUL851977 GEH851977 GOD851977 GXZ851977 HHV851977 HRR851977 IBN851977 ILJ851977 IVF851977 JFB851977 JOX851977 JYT851977 KIP851977 KSL851977 LCH851977 LMD851977 LVZ851977 MFV851977 MPR851977 MZN851977 NJJ851977 NTF851977 ODB851977 OMX851977 OWT851977 PGP851977 PQL851977 QAH851977 QKD851977 QTZ851977 RDV851977 RNR851977 RXN851977 SHJ851977 SRF851977 TBB851977 TKX851977 TUT851977 UEP851977 UOL851977 UYH851977 VID851977 VRZ851977 WBV851977 WLR851977 WVN851977 F917513 JB917513 SX917513 ACT917513 AMP917513 AWL917513 BGH917513 BQD917513 BZZ917513 CJV917513 CTR917513 DDN917513 DNJ917513 DXF917513 EHB917513 EQX917513 FAT917513 FKP917513 FUL917513 GEH917513 GOD917513 GXZ917513 HHV917513 HRR917513 IBN917513 ILJ917513 IVF917513 JFB917513 JOX917513 JYT917513 KIP917513 KSL917513 LCH917513 LMD917513 LVZ917513 MFV917513 MPR917513 MZN917513 NJJ917513 NTF917513 ODB917513 OMX917513 OWT917513 PGP917513 PQL917513 QAH917513 QKD917513 QTZ917513 RDV917513 RNR917513 RXN917513 SHJ917513 SRF917513 TBB917513 TKX917513 TUT917513 UEP917513 UOL917513 UYH917513 VID917513 VRZ917513 WBV917513 WLR917513 WVN917513 F983049 JB983049 SX983049 ACT983049 AMP983049 AWL983049 BGH983049 BQD983049 BZZ983049 CJV983049 CTR983049 DDN983049 DNJ983049 DXF983049 EHB983049 EQX983049 FAT983049 FKP983049 FUL983049 GEH983049 GOD983049 GXZ983049 HHV983049 HRR983049 IBN983049 ILJ983049 IVF983049 JFB983049 JOX983049 JYT983049 KIP983049 KSL983049 LCH983049 LMD983049 LVZ983049 MFV983049 MPR983049 MZN983049 NJJ983049 NTF983049 ODB983049 OMX983049 OWT983049 PGP983049 PQL983049 QAH983049 QKD983049 QTZ983049 RDV983049 RNR983049 RXN983049 SHJ983049 SRF983049 TBB983049 TKX983049 TUT983049 UEP983049 UOL983049 UYH983049 VID983049 VRZ983049 WBV983049 WLR983049 WVN983049" xr:uid="{E53B537E-DB26-4E92-8F59-9CD3204EEAC0}">
      <formula1>"25,30,35,40,45,50"</formula1>
      <formula2>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CE</vt:lpstr>
      <vt:lpstr>CE (2)</vt:lpstr>
      <vt:lpstr>EHE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ALEJANDRO CALLE GARCIA</cp:lastModifiedBy>
  <dcterms:created xsi:type="dcterms:W3CDTF">2022-02-02T19:12:05Z</dcterms:created>
  <dcterms:modified xsi:type="dcterms:W3CDTF">2025-11-14T11:05:28Z</dcterms:modified>
</cp:coreProperties>
</file>