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00_C3-ACG\0000 YOCALCULO\"/>
    </mc:Choice>
  </mc:AlternateContent>
  <xr:revisionPtr revIDLastSave="0" documentId="13_ncr:1_{D08090BA-F6E5-4AC6-927B-B424D6A57A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MPROBACIÓN IPE" sheetId="1" r:id="rId1"/>
    <sheet name="Características Perfiles" sheetId="2" r:id="rId2"/>
    <sheet name="DATOS" sheetId="3" r:id="rId3"/>
  </sheets>
  <definedNames>
    <definedName name="_xlnm.Print_Area" localSheetId="0">'COMPROBACIÓN IPE'!$A$1:$F$49</definedName>
    <definedName name="axil">DATOS!$A$16:$A$17</definedName>
    <definedName name="coacciones">DATOS!$A$9:$A$12</definedName>
    <definedName name="flecha">DATOS!$A$21:$A$22</definedName>
    <definedName name="materiales">DATOS!$A$3:$A$5</definedName>
    <definedName name="NMV">DATOS!$A$27:$B$27</definedName>
    <definedName name="nombreperfiles">'Características Perfiles'!$A$4:$A$21</definedName>
    <definedName name="SINO">DATOS!$A$30:$A$31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6" i="1" l="1"/>
  <c r="E35" i="1"/>
  <c r="E33" i="1"/>
  <c r="E32" i="1"/>
  <c r="E31" i="1"/>
  <c r="D36" i="1"/>
  <c r="D35" i="1"/>
  <c r="D33" i="1"/>
  <c r="D32" i="1"/>
  <c r="D31" i="1"/>
  <c r="C36" i="1"/>
  <c r="C35" i="1"/>
  <c r="C33" i="1"/>
  <c r="C32" i="1"/>
  <c r="C31" i="1"/>
  <c r="E22" i="1"/>
  <c r="A34" i="1" l="1"/>
  <c r="A33" i="1"/>
  <c r="B48" i="1" l="1"/>
  <c r="L31" i="1" l="1"/>
  <c r="C11" i="1"/>
  <c r="C12" i="1" l="1"/>
  <c r="F49" i="1" l="1"/>
  <c r="D49" i="1"/>
  <c r="C14" i="1" l="1"/>
  <c r="C13" i="1"/>
  <c r="D43" i="1"/>
  <c r="N3" i="1" l="1"/>
  <c r="S13" i="2"/>
  <c r="AA13" i="2"/>
  <c r="AB13" i="2"/>
  <c r="AC13" i="2"/>
  <c r="AD13" i="2"/>
  <c r="AE13" i="2"/>
  <c r="D45" i="1"/>
  <c r="D42" i="1"/>
  <c r="F43" i="1"/>
  <c r="F42" i="1"/>
  <c r="D41" i="1"/>
  <c r="B42" i="1"/>
  <c r="B45" i="1"/>
  <c r="B22" i="1"/>
  <c r="F41" i="1"/>
  <c r="S21" i="2"/>
  <c r="S20" i="2"/>
  <c r="S19" i="2"/>
  <c r="S18" i="2"/>
  <c r="S17" i="2"/>
  <c r="S16" i="2"/>
  <c r="S15" i="2"/>
  <c r="S14" i="2"/>
  <c r="S12" i="2"/>
  <c r="S11" i="2"/>
  <c r="S10" i="2"/>
  <c r="S9" i="2"/>
  <c r="S8" i="2"/>
  <c r="S7" i="2"/>
  <c r="S6" i="2"/>
  <c r="S5" i="2"/>
  <c r="S4" i="2"/>
  <c r="AE21" i="2"/>
  <c r="AE20" i="2"/>
  <c r="AE19" i="2"/>
  <c r="AE18" i="2"/>
  <c r="AE17" i="2"/>
  <c r="AE16" i="2"/>
  <c r="AE15" i="2"/>
  <c r="AE14" i="2"/>
  <c r="AE12" i="2"/>
  <c r="AE11" i="2"/>
  <c r="AE10" i="2"/>
  <c r="AE9" i="2"/>
  <c r="AE8" i="2"/>
  <c r="AE7" i="2"/>
  <c r="F47" i="1" s="1"/>
  <c r="E27" i="1" s="1"/>
  <c r="AE6" i="2"/>
  <c r="AE5" i="2"/>
  <c r="AE4" i="2"/>
  <c r="AD21" i="2"/>
  <c r="AD20" i="2"/>
  <c r="AD19" i="2"/>
  <c r="AD18" i="2"/>
  <c r="AD17" i="2"/>
  <c r="AD16" i="2"/>
  <c r="AD15" i="2"/>
  <c r="AD14" i="2"/>
  <c r="AD12" i="2"/>
  <c r="AD11" i="2"/>
  <c r="AD10" i="2"/>
  <c r="AD9" i="2"/>
  <c r="AD8" i="2"/>
  <c r="D47" i="1" s="1"/>
  <c r="B27" i="1" s="1"/>
  <c r="AD7" i="2"/>
  <c r="AD6" i="2"/>
  <c r="AD5" i="2"/>
  <c r="AD4" i="2"/>
  <c r="AC21" i="2"/>
  <c r="Z1" i="2"/>
  <c r="AA1" i="2" s="1"/>
  <c r="AB1" i="2" s="1"/>
  <c r="AC1" i="2" s="1"/>
  <c r="AD1" i="2" s="1"/>
  <c r="AC7" i="2"/>
  <c r="B1" i="2"/>
  <c r="C1" i="2" s="1"/>
  <c r="D1" i="2" s="1"/>
  <c r="E1" i="2" s="1"/>
  <c r="F1" i="2" s="1"/>
  <c r="G1" i="2" s="1"/>
  <c r="H1" i="2" s="1"/>
  <c r="I1" i="2" s="1"/>
  <c r="J1" i="2" s="1"/>
  <c r="K1" i="2" s="1"/>
  <c r="L1" i="2" s="1"/>
  <c r="M1" i="2" s="1"/>
  <c r="N1" i="2" s="1"/>
  <c r="O1" i="2" s="1"/>
  <c r="P1" i="2" s="1"/>
  <c r="Q1" i="2" s="1"/>
  <c r="R1" i="2" s="1"/>
  <c r="S1" i="2" s="1"/>
  <c r="T1" i="2" s="1"/>
  <c r="U1" i="2" s="1"/>
  <c r="V1" i="2" s="1"/>
  <c r="W1" i="2" s="1"/>
  <c r="X1" i="2" s="1"/>
  <c r="AC20" i="2"/>
  <c r="AC19" i="2"/>
  <c r="AC18" i="2"/>
  <c r="AC17" i="2"/>
  <c r="AC16" i="2"/>
  <c r="AC15" i="2"/>
  <c r="AC14" i="2"/>
  <c r="AC12" i="2"/>
  <c r="AC11" i="2"/>
  <c r="AC10" i="2"/>
  <c r="AC9" i="2"/>
  <c r="AC8" i="2"/>
  <c r="AC6" i="2"/>
  <c r="AC5" i="2"/>
  <c r="AC4" i="2"/>
  <c r="AB21" i="2"/>
  <c r="AB20" i="2"/>
  <c r="AB19" i="2"/>
  <c r="AB18" i="2"/>
  <c r="AB17" i="2"/>
  <c r="AB16" i="2"/>
  <c r="AB15" i="2"/>
  <c r="AB14" i="2"/>
  <c r="AB12" i="2"/>
  <c r="AB11" i="2"/>
  <c r="B5" i="1" s="1"/>
  <c r="B7" i="1" s="1"/>
  <c r="AB10" i="2"/>
  <c r="AB9" i="2"/>
  <c r="AB8" i="2"/>
  <c r="AB7" i="2"/>
  <c r="AB6" i="2"/>
  <c r="AB5" i="2"/>
  <c r="AB4" i="2"/>
  <c r="AA21" i="2"/>
  <c r="AA20" i="2"/>
  <c r="AA19" i="2"/>
  <c r="AA18" i="2"/>
  <c r="AA17" i="2"/>
  <c r="AA16" i="2"/>
  <c r="AA15" i="2"/>
  <c r="AA14" i="2"/>
  <c r="AA12" i="2"/>
  <c r="AA11" i="2"/>
  <c r="AA10" i="2"/>
  <c r="AA9" i="2"/>
  <c r="AA8" i="2"/>
  <c r="AA7" i="2"/>
  <c r="AA6" i="2"/>
  <c r="AA5" i="2"/>
  <c r="AA4" i="2"/>
  <c r="B43" i="1"/>
  <c r="B40" i="1"/>
  <c r="F44" i="1"/>
  <c r="D44" i="1"/>
  <c r="B47" i="1"/>
  <c r="B46" i="1"/>
  <c r="B44" i="1"/>
  <c r="B41" i="1"/>
  <c r="H36" i="1" l="1"/>
  <c r="H35" i="1"/>
  <c r="H33" i="1"/>
  <c r="D14" i="1"/>
  <c r="D15" i="1"/>
  <c r="F16" i="1" s="1"/>
  <c r="H31" i="1"/>
  <c r="H32" i="1"/>
  <c r="F45" i="1"/>
  <c r="D16" i="1" s="1"/>
  <c r="F15" i="1" s="1"/>
  <c r="D17" i="1"/>
  <c r="N9" i="1"/>
  <c r="N10" i="1" s="1"/>
  <c r="B25" i="1"/>
  <c r="B23" i="1" s="1"/>
  <c r="N6" i="1"/>
  <c r="N15" i="1"/>
  <c r="N17" i="1" s="1"/>
  <c r="F46" i="1"/>
  <c r="E25" i="1"/>
  <c r="E23" i="1" s="1"/>
  <c r="E12" i="1" s="1"/>
  <c r="E11" i="1" l="1"/>
  <c r="B26" i="1"/>
  <c r="B24" i="1" s="1"/>
  <c r="D11" i="1" s="1"/>
  <c r="E26" i="1"/>
  <c r="E24" i="1" s="1"/>
  <c r="D12" i="1" s="1"/>
  <c r="N18" i="1"/>
  <c r="N16" i="1" s="1"/>
  <c r="N19" i="1" s="1"/>
  <c r="F14" i="1"/>
  <c r="D46" i="1" l="1"/>
  <c r="N5" i="1" s="1"/>
  <c r="N7" i="1" s="1"/>
  <c r="N8" i="1" s="1"/>
  <c r="N11" i="1" s="1"/>
  <c r="N12" i="1" s="1"/>
  <c r="D18" i="1" l="1"/>
  <c r="F18" i="1" l="1"/>
  <c r="D13" i="1" l="1"/>
  <c r="F4" i="1" s="1"/>
  <c r="F13" i="1" l="1"/>
  <c r="F6" i="1" s="1"/>
  <c r="N13" i="1"/>
  <c r="D37" i="1"/>
  <c r="D38" i="1" s="1"/>
  <c r="C37" i="1"/>
  <c r="I31" i="1" s="1"/>
  <c r="E37" i="1"/>
  <c r="E38" i="1" s="1"/>
  <c r="F5" i="1" l="1"/>
  <c r="J31" i="1"/>
  <c r="C38" i="1"/>
  <c r="K31" i="1"/>
</calcChain>
</file>

<file path=xl/sharedStrings.xml><?xml version="1.0" encoding="utf-8"?>
<sst xmlns="http://schemas.openxmlformats.org/spreadsheetml/2006/main" count="174" uniqueCount="142">
  <si>
    <t>N+M</t>
  </si>
  <si>
    <t>M+V</t>
  </si>
  <si>
    <t>N+M+V</t>
  </si>
  <si>
    <t>χ</t>
  </si>
  <si>
    <t>φ</t>
  </si>
  <si>
    <t>α</t>
  </si>
  <si>
    <t>IPE</t>
  </si>
  <si>
    <t>PANDEO EN Y</t>
  </si>
  <si>
    <t>MÉNSULA</t>
  </si>
  <si>
    <t>ARTICULADO-ARTICULADO</t>
  </si>
  <si>
    <t>ARTICULADO-EMPOTRADO</t>
  </si>
  <si>
    <t>EMPOTRADO-EMPOTRADO</t>
  </si>
  <si>
    <t>COACCIONES EN EXTREMOS</t>
  </si>
  <si>
    <t>Acero</t>
  </si>
  <si>
    <t>S235</t>
  </si>
  <si>
    <t>S275</t>
  </si>
  <si>
    <t>S355</t>
  </si>
  <si>
    <t>EJE FUERTE</t>
  </si>
  <si>
    <t>EJE DÉBIL</t>
  </si>
  <si>
    <t>CLASE DE SECCIÓN</t>
  </si>
  <si>
    <t>Kg/m</t>
  </si>
  <si>
    <t>CLASE S235</t>
  </si>
  <si>
    <t>CLASE S355</t>
  </si>
  <si>
    <t>Wel,z mm3</t>
  </si>
  <si>
    <t>Wpl,z mm3</t>
  </si>
  <si>
    <t>tw   mm</t>
  </si>
  <si>
    <t>tf    mm</t>
  </si>
  <si>
    <t>r    mm</t>
  </si>
  <si>
    <r>
      <t>A   mm</t>
    </r>
    <r>
      <rPr>
        <vertAlign val="superscript"/>
        <sz val="10"/>
        <rFont val="Arial"/>
        <family val="2"/>
      </rPr>
      <t>2</t>
    </r>
  </si>
  <si>
    <t>hi   mm</t>
  </si>
  <si>
    <r>
      <t>Iy       mm</t>
    </r>
    <r>
      <rPr>
        <vertAlign val="superscript"/>
        <sz val="10"/>
        <rFont val="Arial"/>
        <family val="2"/>
      </rPr>
      <t>4</t>
    </r>
  </si>
  <si>
    <r>
      <t>Wel,y  mm</t>
    </r>
    <r>
      <rPr>
        <vertAlign val="superscript"/>
        <sz val="10"/>
        <rFont val="Arial"/>
        <family val="2"/>
      </rPr>
      <t>3</t>
    </r>
  </si>
  <si>
    <t>Wpl,y  mm3</t>
  </si>
  <si>
    <t>iy        mm</t>
  </si>
  <si>
    <t>Avz   mm2</t>
  </si>
  <si>
    <t>Iz     mm4</t>
  </si>
  <si>
    <t>Avy    mm2</t>
  </si>
  <si>
    <t>CLASE  S235</t>
  </si>
  <si>
    <t>Compresión pura</t>
  </si>
  <si>
    <t>Flexión pura</t>
  </si>
  <si>
    <t>MATERIALES</t>
  </si>
  <si>
    <t>COACCIONES</t>
  </si>
  <si>
    <t>curva pandeo    EJE y</t>
  </si>
  <si>
    <t>h      mm</t>
  </si>
  <si>
    <t>b      mm</t>
  </si>
  <si>
    <t>d     mm</t>
  </si>
  <si>
    <t>iz          mm</t>
  </si>
  <si>
    <t>curva pandeo    EJE z</t>
  </si>
  <si>
    <t>S235            fy</t>
  </si>
  <si>
    <t>S275            fy</t>
  </si>
  <si>
    <t>S355            fy</t>
  </si>
  <si>
    <t>curva de pandeo</t>
  </si>
  <si>
    <t>PANDEO EN Z</t>
  </si>
  <si>
    <t>INTERACCIÓN DE ESFUERZOS</t>
  </si>
  <si>
    <t>CARACTERÍSTICAS DEL PERFIL</t>
  </si>
  <si>
    <t>VOLADIZO</t>
  </si>
  <si>
    <t>BIAPOYADA</t>
  </si>
  <si>
    <t>FLECHA</t>
  </si>
  <si>
    <t>SI</t>
  </si>
  <si>
    <t>NO</t>
  </si>
  <si>
    <t>PANDEO LATERAL</t>
  </si>
  <si>
    <t>E (Mpa)</t>
  </si>
  <si>
    <t>Lc (m)</t>
  </si>
  <si>
    <t>C1</t>
  </si>
  <si>
    <t>MLTv (mkN)</t>
  </si>
  <si>
    <t>cdg soporte equv.</t>
  </si>
  <si>
    <t>I sop equiv</t>
  </si>
  <si>
    <t>yala</t>
  </si>
  <si>
    <t>yalma</t>
  </si>
  <si>
    <t>ifz</t>
  </si>
  <si>
    <t>ify</t>
  </si>
  <si>
    <t>MLTw (mkN)</t>
  </si>
  <si>
    <t>It
mm4</t>
  </si>
  <si>
    <t>MCR</t>
  </si>
  <si>
    <t>λLT</t>
  </si>
  <si>
    <t>αLT</t>
  </si>
  <si>
    <t>φLT</t>
  </si>
  <si>
    <t>χLT</t>
  </si>
  <si>
    <t>Mb,Rd</t>
  </si>
  <si>
    <t>ϒ</t>
  </si>
  <si>
    <t>Mizda</t>
  </si>
  <si>
    <t>Mdcha</t>
  </si>
  <si>
    <t>L (m)</t>
  </si>
  <si>
    <r>
      <t>M</t>
    </r>
    <r>
      <rPr>
        <b/>
        <vertAlign val="subscript"/>
        <sz val="12"/>
        <rFont val="Arial"/>
        <family val="2"/>
      </rPr>
      <t xml:space="preserve">y,Ed </t>
    </r>
    <r>
      <rPr>
        <b/>
        <sz val="12"/>
        <rFont val="Arial"/>
        <family val="2"/>
      </rPr>
      <t>(mkN)</t>
    </r>
  </si>
  <si>
    <r>
      <t>N</t>
    </r>
    <r>
      <rPr>
        <vertAlign val="subscript"/>
        <sz val="10"/>
        <rFont val="Arial"/>
        <family val="2"/>
      </rPr>
      <t>Ed</t>
    </r>
    <r>
      <rPr>
        <sz val="10"/>
        <rFont val="Arial"/>
        <family val="2"/>
      </rPr>
      <t>-COMPRESIÓN (kN)</t>
    </r>
  </si>
  <si>
    <r>
      <t>N</t>
    </r>
    <r>
      <rPr>
        <vertAlign val="subscript"/>
        <sz val="10"/>
        <rFont val="Arial"/>
        <family val="2"/>
      </rPr>
      <t>Ed</t>
    </r>
    <r>
      <rPr>
        <sz val="10"/>
        <rFont val="Arial"/>
        <family val="2"/>
      </rPr>
      <t>-TRACCIÓN (kN)</t>
    </r>
  </si>
  <si>
    <r>
      <t>M</t>
    </r>
    <r>
      <rPr>
        <b/>
        <vertAlign val="subscript"/>
        <sz val="12"/>
        <rFont val="Arial"/>
        <family val="2"/>
      </rPr>
      <t>z,Ed</t>
    </r>
    <r>
      <rPr>
        <b/>
        <sz val="12"/>
        <rFont val="Arial"/>
        <family val="2"/>
      </rPr>
      <t xml:space="preserve"> (mkN)</t>
    </r>
  </si>
  <si>
    <r>
      <t>V</t>
    </r>
    <r>
      <rPr>
        <b/>
        <vertAlign val="subscript"/>
        <sz val="12"/>
        <rFont val="Arial"/>
        <family val="2"/>
      </rPr>
      <t>z,Ed</t>
    </r>
    <r>
      <rPr>
        <b/>
        <sz val="12"/>
        <rFont val="Arial"/>
        <family val="2"/>
      </rPr>
      <t xml:space="preserve"> (kN)</t>
    </r>
  </si>
  <si>
    <r>
      <t>V</t>
    </r>
    <r>
      <rPr>
        <b/>
        <vertAlign val="subscript"/>
        <sz val="12"/>
        <rFont val="Arial"/>
        <family val="2"/>
      </rPr>
      <t>y,Ed</t>
    </r>
    <r>
      <rPr>
        <b/>
        <sz val="12"/>
        <rFont val="Arial"/>
        <family val="2"/>
      </rPr>
      <t xml:space="preserve"> (kN)</t>
    </r>
  </si>
  <si>
    <t>NEd-COMPRESIÓN (kN)</t>
  </si>
  <si>
    <t>q UNIFORME (kN/m)</t>
  </si>
  <si>
    <t>P CENTRAL (kN)</t>
  </si>
  <si>
    <r>
      <t>L</t>
    </r>
    <r>
      <rPr>
        <vertAlign val="subscript"/>
        <sz val="12"/>
        <rFont val="Arial"/>
        <family val="2"/>
      </rPr>
      <t>c,max</t>
    </r>
    <r>
      <rPr>
        <sz val="12"/>
        <rFont val="Arial"/>
        <family val="2"/>
      </rPr>
      <t xml:space="preserve"> (m)</t>
    </r>
  </si>
  <si>
    <r>
      <t>M</t>
    </r>
    <r>
      <rPr>
        <vertAlign val="subscript"/>
        <sz val="12"/>
        <rFont val="Arial"/>
        <family val="2"/>
      </rPr>
      <t>b,Rd</t>
    </r>
    <r>
      <rPr>
        <sz val="12"/>
        <rFont val="Arial"/>
        <family val="2"/>
      </rPr>
      <t xml:space="preserve"> (mkN)</t>
    </r>
  </si>
  <si>
    <t>SÍ</t>
  </si>
  <si>
    <t>G (Mpa)</t>
  </si>
  <si>
    <r>
      <t>f</t>
    </r>
    <r>
      <rPr>
        <vertAlign val="subscript"/>
        <sz val="12"/>
        <rFont val="Arial"/>
        <family val="2"/>
      </rPr>
      <t>yk</t>
    </r>
    <r>
      <rPr>
        <sz val="12"/>
        <rFont val="Arial"/>
        <family val="2"/>
      </rPr>
      <t xml:space="preserve"> (Mpa)</t>
    </r>
  </si>
  <si>
    <r>
      <t>f</t>
    </r>
    <r>
      <rPr>
        <vertAlign val="subscript"/>
        <sz val="12"/>
        <rFont val="Arial"/>
        <family val="2"/>
      </rPr>
      <t>yd</t>
    </r>
    <r>
      <rPr>
        <sz val="12"/>
        <rFont val="Arial"/>
        <family val="2"/>
      </rPr>
      <t xml:space="preserve"> (Mpa)</t>
    </r>
  </si>
  <si>
    <r>
      <t>ϒ</t>
    </r>
    <r>
      <rPr>
        <vertAlign val="subscript"/>
        <sz val="12"/>
        <rFont val="Calibri"/>
        <family val="2"/>
      </rPr>
      <t>s</t>
    </r>
  </si>
  <si>
    <r>
      <t>L</t>
    </r>
    <r>
      <rPr>
        <vertAlign val="subscript"/>
        <sz val="12"/>
        <rFont val="Arial"/>
        <family val="2"/>
      </rPr>
      <t>k</t>
    </r>
    <r>
      <rPr>
        <sz val="12"/>
        <rFont val="Arial"/>
        <family val="2"/>
      </rPr>
      <t xml:space="preserve"> (m)</t>
    </r>
  </si>
  <si>
    <r>
      <t>λ</t>
    </r>
    <r>
      <rPr>
        <vertAlign val="subscript"/>
        <sz val="12"/>
        <rFont val="Arial"/>
        <family val="2"/>
      </rPr>
      <t>k</t>
    </r>
  </si>
  <si>
    <r>
      <t>N</t>
    </r>
    <r>
      <rPr>
        <vertAlign val="subscript"/>
        <sz val="12"/>
        <rFont val="Arial"/>
        <family val="2"/>
      </rPr>
      <t>cr</t>
    </r>
    <r>
      <rPr>
        <sz val="12"/>
        <rFont val="Arial"/>
        <family val="2"/>
      </rPr>
      <t xml:space="preserve"> (kN)</t>
    </r>
  </si>
  <si>
    <r>
      <t>M</t>
    </r>
    <r>
      <rPr>
        <vertAlign val="subscript"/>
        <sz val="12"/>
        <rFont val="Arial"/>
        <family val="2"/>
      </rPr>
      <t>V,Rdy</t>
    </r>
    <r>
      <rPr>
        <sz val="12"/>
        <rFont val="Arial"/>
        <family val="2"/>
      </rPr>
      <t xml:space="preserve"> (mkN)</t>
    </r>
  </si>
  <si>
    <r>
      <t>V</t>
    </r>
    <r>
      <rPr>
        <vertAlign val="subscript"/>
        <sz val="12"/>
        <rFont val="Arial"/>
        <family val="2"/>
      </rPr>
      <t>zRD</t>
    </r>
    <r>
      <rPr>
        <sz val="12"/>
        <rFont val="Arial"/>
        <family val="2"/>
      </rPr>
      <t xml:space="preserve"> (kN)</t>
    </r>
  </si>
  <si>
    <r>
      <t>V</t>
    </r>
    <r>
      <rPr>
        <vertAlign val="subscript"/>
        <sz val="12"/>
        <rFont val="Arial"/>
        <family val="2"/>
      </rPr>
      <t>yRD</t>
    </r>
    <r>
      <rPr>
        <sz val="12"/>
        <rFont val="Arial"/>
        <family val="2"/>
      </rPr>
      <t xml:space="preserve">  (kN)</t>
    </r>
  </si>
  <si>
    <r>
      <t>ρ</t>
    </r>
    <r>
      <rPr>
        <vertAlign val="subscript"/>
        <sz val="12"/>
        <rFont val="Arial"/>
        <family val="2"/>
      </rPr>
      <t>y</t>
    </r>
  </si>
  <si>
    <r>
      <t>ρ</t>
    </r>
    <r>
      <rPr>
        <vertAlign val="subscript"/>
        <sz val="12"/>
        <rFont val="Arial"/>
        <family val="2"/>
      </rPr>
      <t>z</t>
    </r>
  </si>
  <si>
    <t>CARACTERÍSTICA</t>
  </si>
  <si>
    <t>ACTIVA</t>
  </si>
  <si>
    <t>CASI PERM.</t>
  </si>
  <si>
    <t>TIPO DE TABIQUES</t>
  </si>
  <si>
    <t>PORCIÓN C. P.</t>
  </si>
  <si>
    <t>CARGA TOTAL</t>
  </si>
  <si>
    <t>PREVIO P. OBRA</t>
  </si>
  <si>
    <t>RELATIVA</t>
  </si>
  <si>
    <t>LÍMITE ACTIVA</t>
  </si>
  <si>
    <r>
      <t>I</t>
    </r>
    <r>
      <rPr>
        <vertAlign val="subscript"/>
        <sz val="12"/>
        <rFont val="Arial"/>
        <family val="2"/>
      </rPr>
      <t>y</t>
    </r>
    <r>
      <rPr>
        <sz val="12"/>
        <rFont val="Arial"/>
        <family val="2"/>
      </rPr>
      <t xml:space="preserve"> (mm</t>
    </r>
    <r>
      <rPr>
        <vertAlign val="superscript"/>
        <sz val="12"/>
        <rFont val="Arial"/>
        <family val="2"/>
      </rPr>
      <t>4</t>
    </r>
    <r>
      <rPr>
        <sz val="12"/>
        <rFont val="Arial"/>
        <family val="2"/>
      </rPr>
      <t>)</t>
    </r>
  </si>
  <si>
    <r>
      <t>W</t>
    </r>
    <r>
      <rPr>
        <vertAlign val="subscript"/>
        <sz val="12"/>
        <rFont val="Arial"/>
        <family val="2"/>
      </rPr>
      <t>el,y</t>
    </r>
    <r>
      <rPr>
        <sz val="12"/>
        <rFont val="Arial"/>
        <family val="2"/>
      </rPr>
      <t xml:space="preserve"> (mm</t>
    </r>
    <r>
      <rPr>
        <vertAlign val="superscript"/>
        <sz val="12"/>
        <rFont val="Arial"/>
        <family val="2"/>
      </rPr>
      <t>3</t>
    </r>
    <r>
      <rPr>
        <sz val="12"/>
        <rFont val="Arial"/>
        <family val="2"/>
      </rPr>
      <t>)</t>
    </r>
  </si>
  <si>
    <r>
      <t>W</t>
    </r>
    <r>
      <rPr>
        <vertAlign val="subscript"/>
        <sz val="12"/>
        <rFont val="Arial"/>
        <family val="2"/>
      </rPr>
      <t>pl,y</t>
    </r>
    <r>
      <rPr>
        <sz val="12"/>
        <rFont val="Arial"/>
        <family val="2"/>
      </rPr>
      <t xml:space="preserve"> (mm</t>
    </r>
    <r>
      <rPr>
        <vertAlign val="superscript"/>
        <sz val="12"/>
        <rFont val="Arial"/>
        <family val="2"/>
      </rPr>
      <t>3</t>
    </r>
    <r>
      <rPr>
        <sz val="12"/>
        <rFont val="Arial"/>
        <family val="2"/>
      </rPr>
      <t>)</t>
    </r>
  </si>
  <si>
    <r>
      <t>i</t>
    </r>
    <r>
      <rPr>
        <vertAlign val="subscript"/>
        <sz val="12"/>
        <rFont val="Arial"/>
        <family val="2"/>
      </rPr>
      <t>y</t>
    </r>
    <r>
      <rPr>
        <sz val="12"/>
        <rFont val="Arial"/>
        <family val="2"/>
      </rPr>
      <t xml:space="preserve"> (mm)</t>
    </r>
  </si>
  <si>
    <r>
      <t>A</t>
    </r>
    <r>
      <rPr>
        <vertAlign val="subscript"/>
        <sz val="12"/>
        <rFont val="Arial"/>
        <family val="2"/>
      </rPr>
      <t>v,z</t>
    </r>
    <r>
      <rPr>
        <sz val="12"/>
        <rFont val="Arial"/>
        <family val="2"/>
      </rPr>
      <t xml:space="preserve"> (mm</t>
    </r>
    <r>
      <rPr>
        <vertAlign val="superscript"/>
        <sz val="12"/>
        <rFont val="Arial"/>
        <family val="2"/>
      </rPr>
      <t>2</t>
    </r>
    <r>
      <rPr>
        <sz val="12"/>
        <rFont val="Arial"/>
        <family val="2"/>
      </rPr>
      <t>)</t>
    </r>
  </si>
  <si>
    <r>
      <t>i</t>
    </r>
    <r>
      <rPr>
        <vertAlign val="subscript"/>
        <sz val="12"/>
        <rFont val="Arial"/>
        <family val="2"/>
      </rPr>
      <t>fy</t>
    </r>
    <r>
      <rPr>
        <sz val="12"/>
        <rFont val="Arial"/>
        <family val="2"/>
      </rPr>
      <t xml:space="preserve"> (mm)</t>
    </r>
  </si>
  <si>
    <r>
      <t>I</t>
    </r>
    <r>
      <rPr>
        <vertAlign val="subscript"/>
        <sz val="12"/>
        <rFont val="Arial"/>
        <family val="2"/>
      </rPr>
      <t>z</t>
    </r>
    <r>
      <rPr>
        <sz val="12"/>
        <rFont val="Arial"/>
        <family val="2"/>
      </rPr>
      <t xml:space="preserve"> (mm</t>
    </r>
    <r>
      <rPr>
        <vertAlign val="superscript"/>
        <sz val="12"/>
        <rFont val="Arial"/>
        <family val="2"/>
      </rPr>
      <t>4</t>
    </r>
    <r>
      <rPr>
        <sz val="12"/>
        <rFont val="Arial"/>
        <family val="2"/>
      </rPr>
      <t>)</t>
    </r>
  </si>
  <si>
    <r>
      <t>W</t>
    </r>
    <r>
      <rPr>
        <vertAlign val="subscript"/>
        <sz val="12"/>
        <rFont val="Arial"/>
        <family val="2"/>
      </rPr>
      <t>el,z</t>
    </r>
    <r>
      <rPr>
        <sz val="12"/>
        <rFont val="Arial"/>
        <family val="2"/>
      </rPr>
      <t xml:space="preserve"> (mm</t>
    </r>
    <r>
      <rPr>
        <vertAlign val="superscript"/>
        <sz val="12"/>
        <rFont val="Arial"/>
        <family val="2"/>
      </rPr>
      <t>3</t>
    </r>
    <r>
      <rPr>
        <sz val="12"/>
        <rFont val="Arial"/>
        <family val="2"/>
      </rPr>
      <t>)</t>
    </r>
  </si>
  <si>
    <r>
      <t>W</t>
    </r>
    <r>
      <rPr>
        <vertAlign val="subscript"/>
        <sz val="12"/>
        <rFont val="Arial"/>
        <family val="2"/>
      </rPr>
      <t>pl,z</t>
    </r>
    <r>
      <rPr>
        <sz val="12"/>
        <rFont val="Arial"/>
        <family val="2"/>
      </rPr>
      <t xml:space="preserve"> (mm</t>
    </r>
    <r>
      <rPr>
        <vertAlign val="superscript"/>
        <sz val="12"/>
        <rFont val="Arial"/>
        <family val="2"/>
      </rPr>
      <t>3</t>
    </r>
    <r>
      <rPr>
        <sz val="12"/>
        <rFont val="Arial"/>
        <family val="2"/>
      </rPr>
      <t>)</t>
    </r>
  </si>
  <si>
    <r>
      <t>i</t>
    </r>
    <r>
      <rPr>
        <vertAlign val="subscript"/>
        <sz val="12"/>
        <rFont val="Arial"/>
        <family val="2"/>
      </rPr>
      <t>z</t>
    </r>
    <r>
      <rPr>
        <sz val="12"/>
        <rFont val="Arial"/>
        <family val="2"/>
      </rPr>
      <t xml:space="preserve"> (mm)</t>
    </r>
  </si>
  <si>
    <r>
      <t>i</t>
    </r>
    <r>
      <rPr>
        <vertAlign val="subscript"/>
        <sz val="12"/>
        <rFont val="Arial"/>
        <family val="2"/>
      </rPr>
      <t>fz</t>
    </r>
    <r>
      <rPr>
        <sz val="12"/>
        <rFont val="Arial"/>
        <family val="2"/>
      </rPr>
      <t xml:space="preserve"> (mm)</t>
    </r>
  </si>
  <si>
    <r>
      <t>A</t>
    </r>
    <r>
      <rPr>
        <vertAlign val="subscript"/>
        <sz val="12"/>
        <rFont val="Arial"/>
        <family val="2"/>
      </rPr>
      <t>v,y</t>
    </r>
    <r>
      <rPr>
        <sz val="12"/>
        <rFont val="Arial"/>
        <family val="2"/>
      </rPr>
      <t xml:space="preserve"> (mm</t>
    </r>
    <r>
      <rPr>
        <vertAlign val="superscript"/>
        <sz val="12"/>
        <rFont val="Arial"/>
        <family val="2"/>
      </rPr>
      <t>2</t>
    </r>
    <r>
      <rPr>
        <sz val="12"/>
        <rFont val="Arial"/>
        <family val="2"/>
      </rPr>
      <t>)</t>
    </r>
  </si>
  <si>
    <t>h (mm)</t>
  </si>
  <si>
    <t>b (mm)</t>
  </si>
  <si>
    <t>r (mm)</t>
  </si>
  <si>
    <t>d (mm)</t>
  </si>
  <si>
    <r>
      <t>t</t>
    </r>
    <r>
      <rPr>
        <vertAlign val="subscript"/>
        <sz val="12"/>
        <rFont val="Arial"/>
        <family val="2"/>
      </rPr>
      <t>w</t>
    </r>
    <r>
      <rPr>
        <sz val="12"/>
        <rFont val="Arial"/>
        <family val="2"/>
      </rPr>
      <t xml:space="preserve"> (mm)</t>
    </r>
  </si>
  <si>
    <r>
      <t>t</t>
    </r>
    <r>
      <rPr>
        <vertAlign val="subscript"/>
        <sz val="12"/>
        <rFont val="Arial"/>
        <family val="2"/>
      </rPr>
      <t>f</t>
    </r>
    <r>
      <rPr>
        <sz val="12"/>
        <rFont val="Arial"/>
        <family val="2"/>
      </rPr>
      <t xml:space="preserve"> (mm)</t>
    </r>
  </si>
  <si>
    <r>
      <t>h</t>
    </r>
    <r>
      <rPr>
        <vertAlign val="subscript"/>
        <sz val="12"/>
        <rFont val="Arial"/>
        <family val="2"/>
      </rPr>
      <t>i</t>
    </r>
    <r>
      <rPr>
        <sz val="12"/>
        <rFont val="Arial"/>
        <family val="2"/>
      </rPr>
      <t xml:space="preserve"> (mm)</t>
    </r>
  </si>
  <si>
    <r>
      <t>A (mm</t>
    </r>
    <r>
      <rPr>
        <vertAlign val="superscript"/>
        <sz val="12"/>
        <rFont val="Arial"/>
        <family val="2"/>
      </rPr>
      <t>2</t>
    </r>
    <r>
      <rPr>
        <sz val="12"/>
        <rFont val="Arial"/>
        <family val="2"/>
      </rPr>
      <t>)</t>
    </r>
  </si>
  <si>
    <r>
      <t>I</t>
    </r>
    <r>
      <rPr>
        <vertAlign val="subscript"/>
        <sz val="12"/>
        <rFont val="Arial"/>
        <family val="2"/>
      </rPr>
      <t>t</t>
    </r>
    <r>
      <rPr>
        <sz val="12"/>
        <rFont val="Arial"/>
        <family val="2"/>
      </rPr>
      <t xml:space="preserve"> (mm</t>
    </r>
    <r>
      <rPr>
        <vertAlign val="superscript"/>
        <sz val="12"/>
        <rFont val="Arial"/>
        <family val="2"/>
      </rPr>
      <t>4</t>
    </r>
    <r>
      <rPr>
        <sz val="12"/>
        <rFont val="Arial"/>
        <family val="2"/>
      </rPr>
      <t>)</t>
    </r>
  </si>
  <si>
    <t>Modificador Lk</t>
  </si>
  <si>
    <t>TOTAL (mm)</t>
  </si>
  <si>
    <t>VANO</t>
  </si>
  <si>
    <t>OTROS CASOS</t>
  </si>
  <si>
    <t>NO SE COMPRUEBA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</si>
</sst>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5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vertAlign val="superscript"/>
      <sz val="10"/>
      <name val="Arial"/>
      <family val="2"/>
    </font>
    <font>
      <vertAlign val="subscript"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Calibri"/>
      <family val="2"/>
    </font>
    <font>
      <vertAlign val="subscript"/>
      <sz val="12"/>
      <name val="Arial"/>
      <family val="2"/>
    </font>
    <font>
      <b/>
      <vertAlign val="subscript"/>
      <sz val="12"/>
      <name val="Arial"/>
      <family val="2"/>
    </font>
    <font>
      <vertAlign val="subscript"/>
      <sz val="12"/>
      <name val="Calibri"/>
      <family val="2"/>
    </font>
    <font>
      <sz val="10"/>
      <color theme="1"/>
      <name val="Arial"/>
      <family val="2"/>
    </font>
    <font>
      <vertAlign val="superscript"/>
      <sz val="12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2" fontId="6" fillId="0" borderId="0" xfId="0" applyNumberFormat="1" applyFont="1" applyAlignment="1">
      <alignment vertical="center"/>
    </xf>
    <xf numFmtId="2" fontId="6" fillId="0" borderId="0" xfId="0" applyNumberFormat="1" applyFont="1" applyAlignment="1">
      <alignment horizontal="center" vertical="center"/>
    </xf>
    <xf numFmtId="165" fontId="6" fillId="0" borderId="0" xfId="0" applyNumberFormat="1" applyFont="1" applyAlignment="1">
      <alignment vertical="center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2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6" fillId="2" borderId="2" xfId="0" applyFont="1" applyFill="1" applyBorder="1" applyAlignment="1" applyProtection="1">
      <alignment horizontal="right" vertical="center"/>
      <protection locked="0"/>
    </xf>
    <xf numFmtId="0" fontId="6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165" fontId="6" fillId="0" borderId="2" xfId="0" applyNumberFormat="1" applyFont="1" applyBorder="1" applyAlignment="1">
      <alignment horizontal="right" vertical="center"/>
    </xf>
    <xf numFmtId="165" fontId="6" fillId="0" borderId="2" xfId="0" applyNumberFormat="1" applyFont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left" vertical="center"/>
      <protection locked="0"/>
    </xf>
    <xf numFmtId="165" fontId="6" fillId="0" borderId="2" xfId="0" applyNumberFormat="1" applyFont="1" applyBorder="1" applyAlignment="1">
      <alignment vertical="center"/>
    </xf>
    <xf numFmtId="10" fontId="6" fillId="2" borderId="2" xfId="0" applyNumberFormat="1" applyFont="1" applyFill="1" applyBorder="1" applyAlignment="1" applyProtection="1">
      <alignment horizontal="center" vertical="center"/>
      <protection locked="0"/>
    </xf>
    <xf numFmtId="0" fontId="7" fillId="0" borderId="6" xfId="0" applyFont="1" applyBorder="1" applyAlignment="1">
      <alignment horizontal="left" vertical="center"/>
    </xf>
    <xf numFmtId="0" fontId="6" fillId="2" borderId="7" xfId="0" applyFont="1" applyFill="1" applyBorder="1" applyAlignment="1" applyProtection="1">
      <alignment horizontal="right" vertical="center"/>
      <protection locked="0"/>
    </xf>
    <xf numFmtId="0" fontId="6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7" fillId="0" borderId="9" xfId="0" applyFont="1" applyBorder="1" applyAlignment="1">
      <alignment horizontal="left" vertical="center"/>
    </xf>
    <xf numFmtId="2" fontId="6" fillId="0" borderId="10" xfId="0" applyNumberFormat="1" applyFont="1" applyBorder="1" applyAlignment="1">
      <alignment vertical="center"/>
    </xf>
    <xf numFmtId="0" fontId="6" fillId="0" borderId="9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6" fillId="2" borderId="10" xfId="0" applyFont="1" applyFill="1" applyBorder="1" applyAlignment="1" applyProtection="1">
      <alignment horizontal="center" vertical="center"/>
      <protection locked="0"/>
    </xf>
    <xf numFmtId="0" fontId="6" fillId="0" borderId="9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165" fontId="6" fillId="0" borderId="10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6" fillId="2" borderId="12" xfId="0" applyFont="1" applyFill="1" applyBorder="1" applyAlignment="1" applyProtection="1">
      <alignment horizontal="left" vertical="center"/>
      <protection locked="0"/>
    </xf>
    <xf numFmtId="0" fontId="6" fillId="0" borderId="12" xfId="0" applyFont="1" applyBorder="1" applyAlignment="1">
      <alignment horizontal="center" vertical="center"/>
    </xf>
    <xf numFmtId="165" fontId="6" fillId="0" borderId="12" xfId="0" applyNumberFormat="1" applyFont="1" applyBorder="1" applyAlignment="1">
      <alignment horizontal="center" vertical="center"/>
    </xf>
    <xf numFmtId="2" fontId="6" fillId="0" borderId="13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2" fontId="6" fillId="0" borderId="7" xfId="0" applyNumberFormat="1" applyFont="1" applyBorder="1" applyAlignment="1">
      <alignment vertical="center"/>
    </xf>
    <xf numFmtId="0" fontId="6" fillId="0" borderId="8" xfId="0" applyFont="1" applyBorder="1" applyAlignment="1">
      <alignment vertical="center"/>
    </xf>
    <xf numFmtId="165" fontId="6" fillId="0" borderId="10" xfId="0" applyNumberFormat="1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2" borderId="9" xfId="0" applyFont="1" applyFill="1" applyBorder="1" applyAlignment="1" applyProtection="1">
      <alignment horizontal="left" vertical="center"/>
      <protection locked="0"/>
    </xf>
    <xf numFmtId="0" fontId="6" fillId="0" borderId="10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2" borderId="14" xfId="0" applyFont="1" applyFill="1" applyBorder="1" applyAlignment="1" applyProtection="1">
      <alignment horizontal="center" vertical="center"/>
      <protection locked="0"/>
    </xf>
    <xf numFmtId="0" fontId="7" fillId="0" borderId="14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165" fontId="6" fillId="0" borderId="17" xfId="0" applyNumberFormat="1" applyFont="1" applyBorder="1" applyAlignment="1">
      <alignment vertical="center"/>
    </xf>
    <xf numFmtId="165" fontId="7" fillId="0" borderId="17" xfId="0" applyNumberFormat="1" applyFont="1" applyBorder="1" applyAlignment="1">
      <alignment horizontal="center" vertical="center"/>
    </xf>
    <xf numFmtId="10" fontId="6" fillId="2" borderId="15" xfId="0" applyNumberFormat="1" applyFont="1" applyFill="1" applyBorder="1" applyAlignment="1" applyProtection="1">
      <alignment horizontal="center" vertical="center"/>
      <protection locked="0"/>
    </xf>
    <xf numFmtId="0" fontId="14" fillId="0" borderId="16" xfId="0" applyFont="1" applyBorder="1" applyAlignment="1">
      <alignment horizontal="left" vertical="center"/>
    </xf>
    <xf numFmtId="0" fontId="6" fillId="0" borderId="18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1" fontId="6" fillId="0" borderId="18" xfId="0" applyNumberFormat="1" applyFont="1" applyBorder="1" applyAlignment="1">
      <alignment horizontal="center" vertical="center"/>
    </xf>
    <xf numFmtId="0" fontId="12" fillId="0" borderId="15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3" xfId="0" applyFont="1" applyBorder="1" applyAlignment="1">
      <alignment vertical="center"/>
    </xf>
    <xf numFmtId="165" fontId="6" fillId="0" borderId="12" xfId="0" applyNumberFormat="1" applyFont="1" applyBorder="1" applyAlignment="1">
      <alignment vertical="center"/>
    </xf>
    <xf numFmtId="165" fontId="6" fillId="0" borderId="13" xfId="0" applyNumberFormat="1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6" fillId="0" borderId="26" xfId="0" applyFont="1" applyBorder="1" applyAlignment="1">
      <alignment horizontal="center" vertical="center"/>
    </xf>
    <xf numFmtId="1" fontId="6" fillId="0" borderId="2" xfId="0" applyNumberFormat="1" applyFont="1" applyBorder="1" applyAlignment="1">
      <alignment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165" fontId="6" fillId="0" borderId="30" xfId="0" applyNumberFormat="1" applyFont="1" applyBorder="1" applyAlignment="1">
      <alignment horizontal="center" vertical="center"/>
    </xf>
    <xf numFmtId="2" fontId="6" fillId="0" borderId="30" xfId="0" applyNumberFormat="1" applyFont="1" applyBorder="1" applyAlignment="1">
      <alignment horizontal="center" vertical="center"/>
    </xf>
    <xf numFmtId="0" fontId="6" fillId="0" borderId="29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0" fontId="6" fillId="2" borderId="2" xfId="0" applyFont="1" applyFill="1" applyBorder="1" applyAlignment="1" applyProtection="1">
      <alignment vertical="center"/>
      <protection locked="0"/>
    </xf>
    <xf numFmtId="0" fontId="2" fillId="2" borderId="7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2" borderId="10" xfId="0" applyFont="1" applyFill="1" applyBorder="1" applyAlignment="1" applyProtection="1">
      <alignment horizontal="center" vertical="center"/>
      <protection locked="0"/>
    </xf>
    <xf numFmtId="2" fontId="6" fillId="0" borderId="10" xfId="0" applyNumberFormat="1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64" fontId="6" fillId="0" borderId="1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2" borderId="9" xfId="0" applyFont="1" applyFill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3" borderId="3" xfId="0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0" fontId="6" fillId="3" borderId="26" xfId="0" applyFont="1" applyFill="1" applyBorder="1" applyAlignment="1" applyProtection="1">
      <alignment horizontal="center" vertical="center"/>
      <protection locked="0"/>
    </xf>
    <xf numFmtId="0" fontId="6" fillId="3" borderId="36" xfId="0" applyFont="1" applyFill="1" applyBorder="1" applyAlignment="1" applyProtection="1">
      <alignment horizontal="center" vertical="center"/>
      <protection locked="0"/>
    </xf>
    <xf numFmtId="0" fontId="6" fillId="3" borderId="0" xfId="0" applyFont="1" applyFill="1" applyAlignment="1" applyProtection="1">
      <alignment horizontal="center" vertical="center"/>
      <protection locked="0"/>
    </xf>
    <xf numFmtId="0" fontId="6" fillId="3" borderId="30" xfId="0" applyFont="1" applyFill="1" applyBorder="1" applyAlignment="1" applyProtection="1">
      <alignment horizontal="center" vertical="center"/>
      <protection locked="0"/>
    </xf>
    <xf numFmtId="0" fontId="6" fillId="3" borderId="37" xfId="0" applyFont="1" applyFill="1" applyBorder="1" applyAlignment="1" applyProtection="1">
      <alignment horizontal="center" vertical="center"/>
      <protection locked="0"/>
    </xf>
    <xf numFmtId="0" fontId="6" fillId="3" borderId="38" xfId="0" applyFont="1" applyFill="1" applyBorder="1" applyAlignment="1" applyProtection="1">
      <alignment horizontal="center" vertical="center"/>
      <protection locked="0"/>
    </xf>
    <xf numFmtId="0" fontId="6" fillId="3" borderId="39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</cellXfs>
  <cellStyles count="1">
    <cellStyle name="Normal" xfId="0" builtinId="0"/>
  </cellStyles>
  <dxfs count="29">
    <dxf>
      <fill>
        <patternFill>
          <bgColor indexed="10"/>
        </patternFill>
      </fill>
    </dxf>
    <dxf>
      <fill>
        <patternFill>
          <bgColor indexed="5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indexed="1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52"/>
        </patternFill>
      </fill>
    </dxf>
    <dxf>
      <fill>
        <patternFill>
          <bgColor indexed="13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indexed="1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9"/>
  <sheetViews>
    <sheetView tabSelected="1" zoomScale="75" zoomScaleNormal="75" workbookViewId="0">
      <selection activeCell="J5" sqref="J5"/>
    </sheetView>
  </sheetViews>
  <sheetFormatPr baseColWidth="10" defaultColWidth="11.42578125" defaultRowHeight="15" x14ac:dyDescent="0.2"/>
  <cols>
    <col min="1" max="1" width="26.140625" style="12" customWidth="1"/>
    <col min="2" max="6" width="20.7109375" style="12" customWidth="1"/>
    <col min="7" max="7" width="18.7109375" style="12" customWidth="1"/>
    <col min="8" max="8" width="24.85546875" style="12" customWidth="1"/>
    <col min="9" max="9" width="21.28515625" style="12" customWidth="1"/>
    <col min="10" max="10" width="15.7109375" style="12" customWidth="1"/>
    <col min="11" max="11" width="21.5703125" style="12" customWidth="1"/>
    <col min="12" max="15" width="15.7109375" style="12" customWidth="1"/>
    <col min="16" max="16384" width="11.42578125" style="12"/>
  </cols>
  <sheetData>
    <row r="1" spans="1:14" ht="20.100000000000001" customHeight="1" thickBot="1" x14ac:dyDescent="0.25"/>
    <row r="2" spans="1:14" ht="20.100000000000001" customHeight="1" thickBot="1" x14ac:dyDescent="0.25">
      <c r="A2" s="113" t="s">
        <v>6</v>
      </c>
      <c r="B2" s="114"/>
      <c r="C2" s="114"/>
      <c r="D2" s="114"/>
      <c r="E2" s="114"/>
      <c r="F2" s="115"/>
      <c r="M2" s="77" t="s">
        <v>60</v>
      </c>
      <c r="N2" s="78" t="s">
        <v>58</v>
      </c>
    </row>
    <row r="3" spans="1:14" ht="20.100000000000001" customHeight="1" x14ac:dyDescent="0.2">
      <c r="A3" s="27" t="s">
        <v>6</v>
      </c>
      <c r="B3" s="28">
        <v>200</v>
      </c>
      <c r="C3" s="118"/>
      <c r="D3" s="29" t="s">
        <v>53</v>
      </c>
      <c r="E3" s="29"/>
      <c r="F3" s="30" t="s">
        <v>79</v>
      </c>
      <c r="M3" s="79" t="s">
        <v>62</v>
      </c>
      <c r="N3" s="80">
        <f>B18</f>
        <v>3</v>
      </c>
    </row>
    <row r="4" spans="1:14" ht="20.100000000000001" customHeight="1" x14ac:dyDescent="0.2">
      <c r="A4" s="31" t="s">
        <v>13</v>
      </c>
      <c r="B4" s="19" t="s">
        <v>15</v>
      </c>
      <c r="C4" s="119"/>
      <c r="D4" s="17" t="s">
        <v>0</v>
      </c>
      <c r="E4" s="87" t="s">
        <v>94</v>
      </c>
      <c r="F4" s="32">
        <f>IF(E4="SÍ",B11/MIN(D11,D12)+B13/D13+B14/D14,"-1")</f>
        <v>0.17308167806807881</v>
      </c>
      <c r="M4" s="79" t="s">
        <v>63</v>
      </c>
      <c r="N4" s="80">
        <v>1</v>
      </c>
    </row>
    <row r="5" spans="1:14" ht="20.100000000000001" customHeight="1" x14ac:dyDescent="0.2">
      <c r="A5" s="33" t="s">
        <v>96</v>
      </c>
      <c r="B5" s="20">
        <f>IF(B4="S235",VLOOKUP($B$3,'Características Perfiles'!$Z$4:$AE$21,2),IF(B4="S275",VLOOKUP($B$3,'Características Perfiles'!$Z$4:$AE$21,3),VLOOKUP($B$3,'Características Perfiles'!$Z$4:$AE$21,4)))</f>
        <v>275</v>
      </c>
      <c r="C5" s="119"/>
      <c r="D5" s="17" t="s">
        <v>1</v>
      </c>
      <c r="E5" s="87" t="s">
        <v>94</v>
      </c>
      <c r="F5" s="32">
        <f>IF(E5="SÍ",($B$13/$F$13)+($B$14/$F$14),"-1")</f>
        <v>0.17308167806807881</v>
      </c>
      <c r="M5" s="79" t="s">
        <v>71</v>
      </c>
      <c r="N5" s="81">
        <f>D42*PI()^2*B8*N4*(MIN(D46,F46))^2/(N3*1000)^2*0.000001</f>
        <v>8.6241239001415106</v>
      </c>
    </row>
    <row r="6" spans="1:14" ht="20.100000000000001" customHeight="1" x14ac:dyDescent="0.2">
      <c r="A6" s="34" t="s">
        <v>98</v>
      </c>
      <c r="B6" s="19">
        <v>1.05</v>
      </c>
      <c r="C6" s="119"/>
      <c r="D6" s="17" t="s">
        <v>2</v>
      </c>
      <c r="E6" s="87" t="s">
        <v>94</v>
      </c>
      <c r="F6" s="32">
        <f>IF(E6="SÍ",($B$13/$F$13)+($B$14/$F$14)+(B11/MIN($D$11,$D$12)),"-1")</f>
        <v>0.17308167806807881</v>
      </c>
      <c r="M6" s="79" t="s">
        <v>64</v>
      </c>
      <c r="N6" s="81">
        <f>N4*PI()*(B9*B48*B8*F41)^0.5/(N3*2000)*0.000001</f>
        <v>21.529477254243346</v>
      </c>
    </row>
    <row r="7" spans="1:14" ht="20.100000000000001" customHeight="1" x14ac:dyDescent="0.2">
      <c r="A7" s="33" t="s">
        <v>97</v>
      </c>
      <c r="B7" s="22">
        <f>B5/B6</f>
        <v>261.90476190476187</v>
      </c>
      <c r="C7" s="119"/>
      <c r="D7" s="121"/>
      <c r="E7" s="122"/>
      <c r="F7" s="123"/>
      <c r="M7" s="79" t="s">
        <v>73</v>
      </c>
      <c r="N7" s="81">
        <f>(N5^2+N6^2)^0.5</f>
        <v>23.192539832583527</v>
      </c>
    </row>
    <row r="8" spans="1:14" ht="20.100000000000001" customHeight="1" x14ac:dyDescent="0.2">
      <c r="A8" s="36" t="s">
        <v>61</v>
      </c>
      <c r="B8" s="19">
        <v>210000</v>
      </c>
      <c r="C8" s="119"/>
      <c r="D8" s="124"/>
      <c r="E8" s="125"/>
      <c r="F8" s="126"/>
      <c r="M8" s="79" t="s">
        <v>74</v>
      </c>
      <c r="N8" s="82">
        <f>(B5*D42*0.000001/N7)^0.5</f>
        <v>1.5178490796698483</v>
      </c>
    </row>
    <row r="9" spans="1:14" ht="20.100000000000001" customHeight="1" x14ac:dyDescent="0.2">
      <c r="A9" s="36" t="s">
        <v>95</v>
      </c>
      <c r="B9" s="19">
        <v>81000</v>
      </c>
      <c r="C9" s="119"/>
      <c r="D9" s="124"/>
      <c r="E9" s="125"/>
      <c r="F9" s="126"/>
      <c r="M9" s="79" t="s">
        <v>51</v>
      </c>
      <c r="N9" s="80" t="str">
        <f>IF(B40/B41&lt;=2,"a","b")</f>
        <v>a</v>
      </c>
    </row>
    <row r="10" spans="1:14" ht="20.100000000000001" customHeight="1" x14ac:dyDescent="0.2">
      <c r="A10" s="37" t="s">
        <v>82</v>
      </c>
      <c r="B10" s="19">
        <v>6.3</v>
      </c>
      <c r="C10" s="120"/>
      <c r="D10" s="127"/>
      <c r="E10" s="128"/>
      <c r="F10" s="129"/>
      <c r="M10" s="79" t="s">
        <v>75</v>
      </c>
      <c r="N10" s="80">
        <f>IF(N9="a",0.21,0.34)</f>
        <v>0.21</v>
      </c>
    </row>
    <row r="11" spans="1:14" ht="20.100000000000001" customHeight="1" x14ac:dyDescent="0.2">
      <c r="A11" s="112" t="s">
        <v>89</v>
      </c>
      <c r="B11" s="94">
        <v>0</v>
      </c>
      <c r="C11" s="21" t="str">
        <f>IF(A11="NEd-TRACCIÓN (kN)","Nt,Rd","Nb,Rdz (kN)")</f>
        <v>Nb,Rdz (kN)</v>
      </c>
      <c r="D11" s="23">
        <f>IF(A11="NEd-TRACCIÓN (kN)",(B45*B7)/(1000),($B$7*$B$45*B24)/(1000))</f>
        <v>557.87656142119192</v>
      </c>
      <c r="E11" s="116" t="str">
        <f>IF(B11=0,"",IF(A11="NEd-TRACCIÓN (kN)","",IF(B23&gt;=2.7,"ESBELTEZ INTOLERABLE",IF(B23&gt;=2,"SÓLO ARRIOSTRAMIENTO",""))))</f>
        <v/>
      </c>
      <c r="F11" s="117"/>
      <c r="K11" s="11"/>
      <c r="M11" s="83" t="s">
        <v>76</v>
      </c>
      <c r="N11" s="81">
        <f>0.5*(1+N10*(N8-0.2)+N8^2)</f>
        <v>1.7903070676926367</v>
      </c>
    </row>
    <row r="12" spans="1:14" ht="20.100000000000001" customHeight="1" x14ac:dyDescent="0.2">
      <c r="A12" s="112"/>
      <c r="B12" s="94"/>
      <c r="C12" s="21" t="str">
        <f>IF(A11="NEd-TRACCIÓN (kN)","","Nb,Rdy (kN)")</f>
        <v>Nb,Rdy (kN)</v>
      </c>
      <c r="D12" s="23">
        <f>IF(A11="NEd-TRACCIÓN (kN)","",($B$7*$B$45*E24)/(1000))</f>
        <v>63.885771334073567</v>
      </c>
      <c r="E12" s="116" t="str">
        <f>IF(B11=0,"",IF(A11="NEd-TRACCIÓN (kN)","",IF(E23&gt;=2.7,"ESBELTEZ INTOLERABLE",IF(E23&gt;=2,"SÓLO ARRIOSTRAMIENTO",""))))</f>
        <v/>
      </c>
      <c r="F12" s="117"/>
      <c r="K12" s="11"/>
      <c r="M12" s="83" t="s">
        <v>77</v>
      </c>
      <c r="N12" s="81">
        <f>MIN(1,1/(N11+(N11^2-N8^2)^0.5))</f>
        <v>0.36500440577548804</v>
      </c>
    </row>
    <row r="13" spans="1:14" ht="20.100000000000001" customHeight="1" x14ac:dyDescent="0.2">
      <c r="A13" s="37" t="s">
        <v>83</v>
      </c>
      <c r="B13" s="24">
        <v>10</v>
      </c>
      <c r="C13" s="21" t="str">
        <f>IF(OR($D$49&gt;=3,$F$49&gt;=3),"Mel,RDy (mkN)","Mpl,RDy (mkN)")</f>
        <v>Mpl,RDy (mkN)</v>
      </c>
      <c r="D13" s="23">
        <f>IF(D7="SÍ",B78,IF(OR(B17="NO SE COMPRUEBA",B18&lt;=D17),IF(OR($D$49&gt;=3,$F$49&gt;=3),(D42*$B$7)/(1000000),(D43*$B$7)/(1000000)),F18))</f>
        <v>57.776190476190472</v>
      </c>
      <c r="E13" s="21" t="s">
        <v>102</v>
      </c>
      <c r="F13" s="38">
        <f>IF(D15&lt;2*B15,MAX(D13-(((F16*D45*D45)/(4*B42))*B5)/(1000000*1.05),0),D13)</f>
        <v>57.776190476190472</v>
      </c>
      <c r="H13" s="11"/>
      <c r="L13" s="11"/>
      <c r="M13" s="79" t="s">
        <v>78</v>
      </c>
      <c r="N13" s="81">
        <f>D13*N12</f>
        <v>21.088564072733316</v>
      </c>
    </row>
    <row r="14" spans="1:14" ht="20.100000000000001" customHeight="1" x14ac:dyDescent="0.2">
      <c r="A14" s="37" t="s">
        <v>86</v>
      </c>
      <c r="B14" s="24">
        <v>0</v>
      </c>
      <c r="C14" s="21" t="str">
        <f>IF(OR($D$49&gt;=3,$F$49&gt;=3),"Mel,RDz (mkN)","Mpl,RDz (mkN)")</f>
        <v>Mpl,RDz (mkN)</v>
      </c>
      <c r="D14" s="23">
        <f>IF(OR($D$49&gt;=3,$F$49&gt;=3),(F42*$B$7)/(1000000),(F43*$B$7)/(1000000))</f>
        <v>11.683571428571428</v>
      </c>
      <c r="E14" s="21" t="s">
        <v>102</v>
      </c>
      <c r="F14" s="38">
        <f>IF(D16&lt;2*B16,MAX(D14-(((F15*F45*F45)/(4*B42))*B5)/(1000000*1.05),0),D14)</f>
        <v>11.683571428571428</v>
      </c>
      <c r="H14" s="11"/>
      <c r="L14" s="11"/>
      <c r="M14" s="83" t="s">
        <v>60</v>
      </c>
      <c r="N14" s="84"/>
    </row>
    <row r="15" spans="1:14" ht="20.100000000000001" customHeight="1" x14ac:dyDescent="0.2">
      <c r="A15" s="37" t="s">
        <v>87</v>
      </c>
      <c r="B15" s="24">
        <v>13</v>
      </c>
      <c r="C15" s="21" t="s">
        <v>103</v>
      </c>
      <c r="D15" s="23">
        <f>((D45*$B$7)/(((3)^0.5)))/1000</f>
        <v>211.69509870286277</v>
      </c>
      <c r="E15" s="21" t="s">
        <v>105</v>
      </c>
      <c r="F15" s="39">
        <f>((2*B16/D16)-1)^2</f>
        <v>1</v>
      </c>
      <c r="H15" s="11"/>
      <c r="L15" s="11"/>
      <c r="M15" s="83" t="s">
        <v>65</v>
      </c>
      <c r="N15" s="84">
        <f>(B41*B43*0.5*B43+B42*0.5*B46/3*(B43+0.25*B46/3))/(B41*B43+B42*0.5*B46/3)</f>
        <v>7.5127351097178687</v>
      </c>
    </row>
    <row r="16" spans="1:14" ht="20.100000000000001" customHeight="1" thickBot="1" x14ac:dyDescent="0.25">
      <c r="A16" s="40" t="s">
        <v>88</v>
      </c>
      <c r="B16" s="41"/>
      <c r="C16" s="42" t="s">
        <v>104</v>
      </c>
      <c r="D16" s="43">
        <f>((F45*$B$5)/(((3)^0.5)*1.05))/1000</f>
        <v>296.31265387009284</v>
      </c>
      <c r="E16" s="42" t="s">
        <v>106</v>
      </c>
      <c r="F16" s="44">
        <f>((2*B15/D15)-1)^2</f>
        <v>0.76944800117452938</v>
      </c>
      <c r="H16" s="11"/>
      <c r="L16" s="11"/>
      <c r="M16" s="83" t="s">
        <v>66</v>
      </c>
      <c r="N16" s="84">
        <f>B41*B43^3/12+B42*(0.5*B46/3)^3/12+B41*B43*N17^2+B42*B46*0.5/3*N18^2</f>
        <v>196746.18382967607</v>
      </c>
    </row>
    <row r="17" spans="1:14" ht="20.100000000000001" customHeight="1" x14ac:dyDescent="0.2">
      <c r="A17" s="45" t="s">
        <v>60</v>
      </c>
      <c r="B17" s="88" t="s">
        <v>141</v>
      </c>
      <c r="C17" s="29" t="s">
        <v>92</v>
      </c>
      <c r="D17" s="46">
        <f>40*MIN(D44,F44)/1000</f>
        <v>0.89600000000000002</v>
      </c>
      <c r="E17" s="29"/>
      <c r="F17" s="47"/>
      <c r="H17" s="11"/>
      <c r="L17" s="11"/>
      <c r="M17" s="83" t="s">
        <v>67</v>
      </c>
      <c r="N17" s="84">
        <f>N15-0.5*B43</f>
        <v>3.2627351097178687</v>
      </c>
    </row>
    <row r="18" spans="1:14" ht="20.100000000000001" customHeight="1" thickBot="1" x14ac:dyDescent="0.25">
      <c r="A18" s="49" t="s">
        <v>62</v>
      </c>
      <c r="B18" s="89">
        <v>3</v>
      </c>
      <c r="C18" s="50" t="s">
        <v>77</v>
      </c>
      <c r="D18" s="70">
        <f>N12</f>
        <v>0.36500440577548804</v>
      </c>
      <c r="E18" s="42" t="s">
        <v>93</v>
      </c>
      <c r="F18" s="71">
        <f>D18*IF(OR($D$49&gt;=3,$F$49&gt;=3),(D42*$B$7)/(1000000),(D43*$B$7)/(1000000))</f>
        <v>21.088564072733316</v>
      </c>
      <c r="H18" s="11"/>
      <c r="L18" s="11"/>
      <c r="M18" s="83" t="s">
        <v>68</v>
      </c>
      <c r="N18" s="84">
        <f>(B43+0.5*B46/3)-N15</f>
        <v>31.48726489028213</v>
      </c>
    </row>
    <row r="19" spans="1:14" ht="20.100000000000001" customHeight="1" x14ac:dyDescent="0.2">
      <c r="A19" s="97" t="s">
        <v>7</v>
      </c>
      <c r="B19" s="98"/>
      <c r="C19" s="99"/>
      <c r="D19" s="100" t="s">
        <v>52</v>
      </c>
      <c r="E19" s="98"/>
      <c r="F19" s="101"/>
      <c r="H19" s="11"/>
      <c r="L19" s="11"/>
      <c r="M19" s="83" t="s">
        <v>70</v>
      </c>
      <c r="N19" s="84">
        <f>(N16/(B41*B43+B42*B46*0.5/3))^0.5</f>
        <v>13.882984155052817</v>
      </c>
    </row>
    <row r="20" spans="1:14" ht="20.100000000000001" customHeight="1" thickBot="1" x14ac:dyDescent="0.25">
      <c r="A20" s="102" t="s">
        <v>12</v>
      </c>
      <c r="B20" s="94" t="s">
        <v>9</v>
      </c>
      <c r="C20" s="94"/>
      <c r="D20" s="103" t="s">
        <v>12</v>
      </c>
      <c r="E20" s="94" t="s">
        <v>9</v>
      </c>
      <c r="F20" s="95"/>
      <c r="H20" s="11"/>
      <c r="L20" s="11"/>
      <c r="M20" s="85" t="s">
        <v>69</v>
      </c>
      <c r="N20" s="86"/>
    </row>
    <row r="21" spans="1:14" ht="20.100000000000001" customHeight="1" x14ac:dyDescent="0.2">
      <c r="A21" s="102"/>
      <c r="B21" s="94"/>
      <c r="C21" s="94"/>
      <c r="D21" s="103"/>
      <c r="E21" s="94"/>
      <c r="F21" s="95"/>
      <c r="H21" s="11"/>
      <c r="L21" s="11"/>
      <c r="M21" s="11"/>
    </row>
    <row r="22" spans="1:14" ht="20.100000000000001" customHeight="1" x14ac:dyDescent="0.2">
      <c r="A22" s="36" t="s">
        <v>99</v>
      </c>
      <c r="B22" s="91">
        <f>IF(B20="MÉNSULA",2*$B$10,IF(B20="ARTICULADO-ARTICULADO",$B$10,IF(B20="ARTICULADO-EMPOTRADO",0.7*$B$10,IF(B20="EMPOTRADO-EMPOTRADO",0.5*$B$10,""))))</f>
        <v>6.3</v>
      </c>
      <c r="C22" s="91"/>
      <c r="D22" s="17" t="s">
        <v>99</v>
      </c>
      <c r="E22" s="91">
        <f>H22*IF(E20="MÉNSULA",2*$B$10,IF(E20="ARTICULADO-ARTICULADO",$B$10,IF(E20="ARTICULADO-EMPOTRADO",0.7*$B$10,IF(E20="EMPOTRADO-EMPOTRADO",0.5*$B$10,""))))</f>
        <v>6.3</v>
      </c>
      <c r="F22" s="92"/>
      <c r="G22" s="12" t="s">
        <v>137</v>
      </c>
      <c r="H22" s="90">
        <v>1</v>
      </c>
      <c r="L22" s="11"/>
      <c r="M22" s="11"/>
    </row>
    <row r="23" spans="1:14" ht="20.100000000000001" customHeight="1" x14ac:dyDescent="0.2">
      <c r="A23" s="36" t="s">
        <v>100</v>
      </c>
      <c r="B23" s="93">
        <f>((B45*B5)/(B25*1000))^0.5</f>
        <v>0.87933352394685249</v>
      </c>
      <c r="C23" s="93"/>
      <c r="D23" s="17" t="s">
        <v>100</v>
      </c>
      <c r="E23" s="93">
        <f>((B45*B5)/(E25*1000))^0.5</f>
        <v>3.2481422177608605</v>
      </c>
      <c r="F23" s="93"/>
      <c r="H23" s="11"/>
      <c r="L23" s="11"/>
      <c r="M23" s="11"/>
    </row>
    <row r="24" spans="1:14" ht="20.100000000000001" customHeight="1" x14ac:dyDescent="0.2">
      <c r="A24" s="36" t="s">
        <v>3</v>
      </c>
      <c r="B24" s="107">
        <f>IF(B23&lt;0.2,1,1/(B26+(B26*B26-B23*B23)^0.5))</f>
        <v>0.74739443635374991</v>
      </c>
      <c r="C24" s="107"/>
      <c r="D24" s="17" t="s">
        <v>3</v>
      </c>
      <c r="E24" s="107">
        <f>IF(E23&lt;0.2,1,1/(E26+(E26*E26-E23*E23)^0.5))</f>
        <v>8.5588593174835401E-2</v>
      </c>
      <c r="F24" s="108"/>
      <c r="H24" s="11"/>
      <c r="L24" s="11"/>
      <c r="M24" s="11"/>
    </row>
    <row r="25" spans="1:14" ht="20.100000000000001" customHeight="1" x14ac:dyDescent="0.2">
      <c r="A25" s="36" t="s">
        <v>101</v>
      </c>
      <c r="B25" s="93">
        <f>((3.14/(B22*1000))^2)*210000*D41/1000</f>
        <v>1013.6086137566136</v>
      </c>
      <c r="C25" s="93"/>
      <c r="D25" s="17" t="s">
        <v>101</v>
      </c>
      <c r="E25" s="93">
        <f>((3.14/(E22*1000))^2)*210000*F41/1000</f>
        <v>74.286086772486769</v>
      </c>
      <c r="F25" s="96"/>
      <c r="H25" s="11"/>
      <c r="I25" s="18"/>
      <c r="J25" s="18"/>
      <c r="L25" s="11"/>
      <c r="M25" s="11"/>
    </row>
    <row r="26" spans="1:14" ht="20.100000000000001" customHeight="1" x14ac:dyDescent="0.2">
      <c r="A26" s="36" t="s">
        <v>4</v>
      </c>
      <c r="B26" s="93">
        <f>0.5*(1+B27*(B23-0.2)+B23*B23)</f>
        <v>0.9579437431828145</v>
      </c>
      <c r="C26" s="93"/>
      <c r="D26" s="17" t="s">
        <v>4</v>
      </c>
      <c r="E26" s="93">
        <f>0.5*(1+E27*(E23-0.2)+E23*E23)</f>
        <v>6.2933981104195675</v>
      </c>
      <c r="F26" s="96"/>
      <c r="L26" s="13"/>
    </row>
    <row r="27" spans="1:14" ht="20.100000000000001" customHeight="1" thickBot="1" x14ac:dyDescent="0.25">
      <c r="A27" s="49" t="s">
        <v>5</v>
      </c>
      <c r="B27" s="105">
        <f>IF(D47="a0",0.13,IF(D47="a",0.21,IF(D47="b",0.34,IF(D47="c",0.49,0.76))))</f>
        <v>0.21</v>
      </c>
      <c r="C27" s="105"/>
      <c r="D27" s="50" t="s">
        <v>5</v>
      </c>
      <c r="E27" s="105">
        <f>IF(F47="a0",0.13,IF(F47="a",0.21,IF(F47="b",0.34,IF(F47="c",0.49,0.76))))</f>
        <v>0.34</v>
      </c>
      <c r="F27" s="106"/>
      <c r="L27" s="13"/>
    </row>
    <row r="28" spans="1:14" ht="20.100000000000001" customHeight="1" x14ac:dyDescent="0.2">
      <c r="A28" s="97" t="s">
        <v>57</v>
      </c>
      <c r="B28" s="98"/>
      <c r="C28" s="98"/>
      <c r="D28" s="98"/>
      <c r="E28" s="98"/>
      <c r="F28" s="101"/>
      <c r="L28" s="13"/>
    </row>
    <row r="29" spans="1:14" ht="20.100000000000001" customHeight="1" thickBot="1" x14ac:dyDescent="0.25">
      <c r="A29" s="36" t="s">
        <v>111</v>
      </c>
      <c r="B29" s="26">
        <v>0.5</v>
      </c>
      <c r="C29" s="57" t="s">
        <v>113</v>
      </c>
      <c r="D29" s="61">
        <v>1</v>
      </c>
      <c r="E29" s="66" t="s">
        <v>110</v>
      </c>
      <c r="F29" s="35" t="s">
        <v>140</v>
      </c>
      <c r="L29" s="13"/>
    </row>
    <row r="30" spans="1:14" ht="20.100000000000001" customHeight="1" x14ac:dyDescent="0.2">
      <c r="A30" s="51" t="s">
        <v>139</v>
      </c>
      <c r="B30" s="54"/>
      <c r="C30" s="58" t="s">
        <v>107</v>
      </c>
      <c r="D30" s="62" t="s">
        <v>109</v>
      </c>
      <c r="E30" s="58" t="s">
        <v>108</v>
      </c>
      <c r="F30" s="63"/>
      <c r="H30" s="12" t="s">
        <v>112</v>
      </c>
      <c r="I30" s="12" t="s">
        <v>107</v>
      </c>
      <c r="J30" s="11" t="s">
        <v>109</v>
      </c>
      <c r="K30" s="11" t="s">
        <v>108</v>
      </c>
      <c r="L30" s="12" t="s">
        <v>115</v>
      </c>
      <c r="M30" s="13"/>
    </row>
    <row r="31" spans="1:14" ht="20.100000000000001" customHeight="1" x14ac:dyDescent="0.2">
      <c r="A31" s="36" t="s">
        <v>90</v>
      </c>
      <c r="B31" s="55">
        <v>4.8</v>
      </c>
      <c r="C31" s="59">
        <f>($B$29*H31+(1-$B$29)*0.7*H31)</f>
        <v>20.510159868759651</v>
      </c>
      <c r="D31" s="59">
        <f>($B$29*H31+(1-$B$29)*0.6*H31)</f>
        <v>19.30367987647967</v>
      </c>
      <c r="E31" s="59">
        <f>0.5*H31</f>
        <v>12.064799922799795</v>
      </c>
      <c r="F31" s="64"/>
      <c r="H31" s="14">
        <f>IF($A$30="VANO",(5*B31*($B$10*1000)^4)/(384*210000*$D$41),(B31*($B$10*1000)^4)/(8*210000*$D$41))</f>
        <v>24.129599845599589</v>
      </c>
      <c r="I31" s="12">
        <f>FLOOR($B$10*1000/C37,10)</f>
        <v>300</v>
      </c>
      <c r="J31" s="12">
        <f>FLOOR($B$10*1000/D37,10)</f>
        <v>320</v>
      </c>
      <c r="K31" s="12">
        <f>FLOOR($B$10*1000/E37,10)</f>
        <v>520</v>
      </c>
      <c r="L31" s="12">
        <f>IF(F29="FRÁGILES",500,IF(F29="ORDINARIOS",400,300))</f>
        <v>300</v>
      </c>
      <c r="M31" s="13"/>
    </row>
    <row r="32" spans="1:14" ht="20.100000000000001" customHeight="1" x14ac:dyDescent="0.2">
      <c r="A32" s="36" t="s">
        <v>91</v>
      </c>
      <c r="B32" s="55">
        <v>0</v>
      </c>
      <c r="C32" s="59">
        <f>($B$29*H32+(1-$B$29)*0.7*H32)</f>
        <v>0</v>
      </c>
      <c r="D32" s="59">
        <f>($B$29*H32+(1-$B$29)*0.6*H32)</f>
        <v>0</v>
      </c>
      <c r="E32" s="59">
        <f>0.5*H32</f>
        <v>0</v>
      </c>
      <c r="F32" s="64"/>
      <c r="H32" s="14">
        <f>IF($A$30="VANO",(B32*1000*($B$10*1000)^3)/(48*210000*$D$41),(B32*1000*($B$10*1000)^3)/(3*210000*$D$41))</f>
        <v>0</v>
      </c>
      <c r="M32" s="13"/>
    </row>
    <row r="33" spans="1:13" ht="20.100000000000001" customHeight="1" x14ac:dyDescent="0.2">
      <c r="A33" s="36" t="str">
        <f>IF(A30="VANO","P SIMÉTRICA (kN)","P INTERMEDIA (kN)")</f>
        <v>P SIMÉTRICA (kN)</v>
      </c>
      <c r="B33" s="55">
        <v>0</v>
      </c>
      <c r="C33" s="59">
        <f>($B$29*H33+(1-$B$29)*0.7*H33)</f>
        <v>0</v>
      </c>
      <c r="D33" s="59">
        <f>($B$29*H33+(1-$B$29)*0.6*H33)</f>
        <v>0</v>
      </c>
      <c r="E33" s="59">
        <f>0.5*H33</f>
        <v>0</v>
      </c>
      <c r="F33" s="65"/>
      <c r="H33" s="14">
        <f>IF(A30="VANO",B33*1000*B34*1000*(3*(B10*1000)^2-4*(B34*1000)^2)/(24*B8*D41),B33*1000*(B34*1000)^2*(3*B10*1000-B34*1000)/(6*B8*D41))</f>
        <v>0</v>
      </c>
      <c r="M33" s="13"/>
    </row>
    <row r="34" spans="1:13" ht="20.100000000000001" customHeight="1" x14ac:dyDescent="0.2">
      <c r="A34" s="36" t="str">
        <f>IF(A30="VANO","Distancia a apoyos (m)","Distancia a apoyo (m)")</f>
        <v>Distancia a apoyos (m)</v>
      </c>
      <c r="B34" s="55">
        <v>0</v>
      </c>
      <c r="C34" s="59"/>
      <c r="D34" s="59"/>
      <c r="E34" s="59"/>
      <c r="F34" s="65"/>
      <c r="H34" s="14"/>
      <c r="M34" s="13"/>
    </row>
    <row r="35" spans="1:13" ht="20.100000000000001" customHeight="1" x14ac:dyDescent="0.2">
      <c r="A35" s="36" t="s">
        <v>80</v>
      </c>
      <c r="B35" s="55">
        <v>0</v>
      </c>
      <c r="C35" s="59">
        <f>($B$29*H35+(1-$B$29)*0.7*H35)</f>
        <v>0</v>
      </c>
      <c r="D35" s="59">
        <f>($B$29*H35+(1-$B$29)*0.6*H35)</f>
        <v>0</v>
      </c>
      <c r="E35" s="59">
        <f>0.5*H35</f>
        <v>0</v>
      </c>
      <c r="F35" s="64"/>
      <c r="H35" s="14">
        <f>IF(A30="VANO",-B35*1000000*($B$10*1000)^2/(16*$B$8*$D$41),0)</f>
        <v>0</v>
      </c>
      <c r="M35" s="13"/>
    </row>
    <row r="36" spans="1:13" ht="20.100000000000001" customHeight="1" x14ac:dyDescent="0.2">
      <c r="A36" s="36" t="s">
        <v>81</v>
      </c>
      <c r="B36" s="55">
        <v>0</v>
      </c>
      <c r="C36" s="59">
        <f>($B$29*H36+(1-$B$29)*0.7*H36)</f>
        <v>0</v>
      </c>
      <c r="D36" s="59">
        <f>($B$29*H36+(1-$B$29)*0.6*H36)</f>
        <v>0</v>
      </c>
      <c r="E36" s="59">
        <f>0.5*H36</f>
        <v>0</v>
      </c>
      <c r="F36" s="64"/>
      <c r="H36" s="14">
        <f>IF(A30="VANO",-B36*1000000*($B$10*1000)^2/(16*$B$8*$D$41),0)</f>
        <v>0</v>
      </c>
      <c r="M36" s="13"/>
    </row>
    <row r="37" spans="1:13" ht="20.100000000000001" customHeight="1" x14ac:dyDescent="0.2">
      <c r="A37" s="36"/>
      <c r="B37" s="56" t="s">
        <v>138</v>
      </c>
      <c r="C37" s="60">
        <f>SUM(C31:C36)</f>
        <v>20.510159868759651</v>
      </c>
      <c r="D37" s="60">
        <f>SUM(D31:D36)</f>
        <v>19.30367987647967</v>
      </c>
      <c r="E37" s="60">
        <f>SUM(E31:E36)</f>
        <v>12.064799922799795</v>
      </c>
      <c r="F37" s="64"/>
      <c r="L37" s="13"/>
    </row>
    <row r="38" spans="1:13" ht="20.100000000000001" customHeight="1" thickBot="1" x14ac:dyDescent="0.25">
      <c r="A38" s="72"/>
      <c r="B38" s="73" t="s">
        <v>114</v>
      </c>
      <c r="C38" s="74" t="str">
        <f>IF(C37=0,"-","L"&amp;"/"&amp;FLOOR($B$10*1000/C37,10))</f>
        <v>L/300</v>
      </c>
      <c r="D38" s="74" t="str">
        <f>IF(D37=0,"-","L"&amp;"/"&amp;FLOOR($B$10*1000/D37,10))</f>
        <v>L/320</v>
      </c>
      <c r="E38" s="74" t="str">
        <f>IF(E37=0,"-","L"&amp;"/"&amp;FLOOR($B$10*1000/E37,10))</f>
        <v>L/520</v>
      </c>
      <c r="F38" s="75"/>
      <c r="L38" s="13"/>
    </row>
    <row r="39" spans="1:13" ht="20.100000000000001" customHeight="1" x14ac:dyDescent="0.2">
      <c r="A39" s="109" t="s">
        <v>54</v>
      </c>
      <c r="B39" s="110"/>
      <c r="C39" s="110"/>
      <c r="D39" s="110"/>
      <c r="E39" s="110"/>
      <c r="F39" s="111"/>
    </row>
    <row r="40" spans="1:13" ht="20.100000000000001" customHeight="1" x14ac:dyDescent="0.2">
      <c r="A40" s="53" t="s">
        <v>128</v>
      </c>
      <c r="B40" s="17">
        <f>VLOOKUP($B$3,'Características Perfiles'!$A$4:$Y$21,2)</f>
        <v>200</v>
      </c>
      <c r="C40" s="91" t="s">
        <v>17</v>
      </c>
      <c r="D40" s="91"/>
      <c r="E40" s="91" t="s">
        <v>18</v>
      </c>
      <c r="F40" s="92"/>
    </row>
    <row r="41" spans="1:13" ht="20.100000000000001" customHeight="1" x14ac:dyDescent="0.2">
      <c r="A41" s="53" t="s">
        <v>129</v>
      </c>
      <c r="B41" s="17">
        <f>VLOOKUP($B$3,'Características Perfiles'!$A$4:$Y$21,3)</f>
        <v>100</v>
      </c>
      <c r="C41" s="21" t="s">
        <v>116</v>
      </c>
      <c r="D41" s="17">
        <f>VLOOKUP($B$3,'Características Perfiles'!$A$4:$Y$21,10)</f>
        <v>19430000</v>
      </c>
      <c r="E41" s="21" t="s">
        <v>122</v>
      </c>
      <c r="F41" s="52">
        <f>VLOOKUP($B$3,'Características Perfiles'!$A$4:$Y$21,15)</f>
        <v>1424000</v>
      </c>
    </row>
    <row r="42" spans="1:13" ht="20.100000000000001" customHeight="1" x14ac:dyDescent="0.2">
      <c r="A42" s="53" t="s">
        <v>132</v>
      </c>
      <c r="B42" s="17">
        <f>VLOOKUP($B$3,'Características Perfiles'!$A$4:$Y$21,4)</f>
        <v>5.6</v>
      </c>
      <c r="C42" s="21" t="s">
        <v>117</v>
      </c>
      <c r="D42" s="17">
        <f>VLOOKUP($B$3,'Características Perfiles'!$A$4:$Y$21,11)</f>
        <v>194300</v>
      </c>
      <c r="E42" s="21" t="s">
        <v>123</v>
      </c>
      <c r="F42" s="52">
        <f>VLOOKUP($B$3,'Características Perfiles'!$A$4:$Y$21,16)</f>
        <v>28470</v>
      </c>
    </row>
    <row r="43" spans="1:13" ht="20.100000000000001" customHeight="1" x14ac:dyDescent="0.2">
      <c r="A43" s="53" t="s">
        <v>133</v>
      </c>
      <c r="B43" s="17">
        <f>VLOOKUP($B$3,'Características Perfiles'!$A$4:$Y$21,5)</f>
        <v>8.5</v>
      </c>
      <c r="C43" s="21" t="s">
        <v>118</v>
      </c>
      <c r="D43" s="17">
        <f>VLOOKUP($B$3,'Características Perfiles'!$A$4:$Y$21,12)</f>
        <v>220600</v>
      </c>
      <c r="E43" s="21" t="s">
        <v>124</v>
      </c>
      <c r="F43" s="52">
        <f>VLOOKUP($B$3,'Características Perfiles'!$A$4:$Y$21,17)</f>
        <v>44610</v>
      </c>
    </row>
    <row r="44" spans="1:13" ht="20.100000000000001" customHeight="1" x14ac:dyDescent="0.2">
      <c r="A44" s="53" t="s">
        <v>130</v>
      </c>
      <c r="B44" s="17">
        <f>VLOOKUP($B$3,'Características Perfiles'!$A$4:$Y$21,6)</f>
        <v>12</v>
      </c>
      <c r="C44" s="21" t="s">
        <v>119</v>
      </c>
      <c r="D44" s="17">
        <f>VLOOKUP($B$3,'Características Perfiles'!$A$4:$Y$21,13)</f>
        <v>82.6</v>
      </c>
      <c r="E44" s="21" t="s">
        <v>125</v>
      </c>
      <c r="F44" s="52">
        <f>VLOOKUP($B$3,'Características Perfiles'!$A$4:$Y$21,18)</f>
        <v>22.4</v>
      </c>
    </row>
    <row r="45" spans="1:13" ht="20.100000000000001" customHeight="1" x14ac:dyDescent="0.2">
      <c r="A45" s="53" t="s">
        <v>135</v>
      </c>
      <c r="B45" s="17">
        <f>VLOOKUP($B$3,'Características Perfiles'!$A$4:$Y$21,7)</f>
        <v>2850</v>
      </c>
      <c r="C45" s="21" t="s">
        <v>120</v>
      </c>
      <c r="D45" s="17">
        <f>VLOOKUP($B$3,'Características Perfiles'!$A$4:$Y$21,14)</f>
        <v>1400</v>
      </c>
      <c r="E45" s="21" t="s">
        <v>127</v>
      </c>
      <c r="F45" s="52">
        <f>VLOOKUP($B$3,'Características Perfiles'!$A$4:$Y$21,19)</f>
        <v>1959.6</v>
      </c>
    </row>
    <row r="46" spans="1:13" ht="20.100000000000001" customHeight="1" x14ac:dyDescent="0.2">
      <c r="A46" s="53" t="s">
        <v>134</v>
      </c>
      <c r="B46" s="17">
        <f>VLOOKUP($B$3,'Características Perfiles'!$A$4:$Y$21,8)</f>
        <v>183</v>
      </c>
      <c r="C46" s="21" t="s">
        <v>121</v>
      </c>
      <c r="D46" s="25">
        <f>N19</f>
        <v>13.882984155052817</v>
      </c>
      <c r="E46" s="21" t="s">
        <v>126</v>
      </c>
      <c r="F46" s="48">
        <f>((B43*B41^3/12+B46*0.5/3*B42)/(B41*B43+B42*B46*0.5/3))^0.5</f>
        <v>26.345161391337733</v>
      </c>
    </row>
    <row r="47" spans="1:13" ht="20.100000000000001" customHeight="1" x14ac:dyDescent="0.2">
      <c r="A47" s="53" t="s">
        <v>131</v>
      </c>
      <c r="B47" s="17">
        <f>VLOOKUP($B$3,'Características Perfiles'!$A$4:$Y$21,9)</f>
        <v>159</v>
      </c>
      <c r="C47" s="67" t="s">
        <v>51</v>
      </c>
      <c r="D47" s="67" t="str">
        <f>VLOOKUP($B$3,'Características Perfiles'!$Z$4:$AE$21,5)</f>
        <v>a</v>
      </c>
      <c r="E47" s="67" t="s">
        <v>51</v>
      </c>
      <c r="F47" s="68" t="str">
        <f>VLOOKUP($B$3,'Características Perfiles'!$Z$4:$AE$21,6)</f>
        <v>b</v>
      </c>
    </row>
    <row r="48" spans="1:13" ht="20.100000000000001" customHeight="1" x14ac:dyDescent="0.2">
      <c r="A48" s="53" t="s">
        <v>136</v>
      </c>
      <c r="B48" s="17">
        <f>VLOOKUP($B$3,'Características Perfiles'!$A$4:$Y$21,20)</f>
        <v>69800</v>
      </c>
      <c r="C48" s="17"/>
      <c r="D48" s="21"/>
      <c r="E48" s="76"/>
      <c r="F48" s="52"/>
    </row>
    <row r="49" spans="1:6" ht="20.100000000000001" customHeight="1" thickBot="1" x14ac:dyDescent="0.25">
      <c r="A49" s="104" t="s">
        <v>19</v>
      </c>
      <c r="B49" s="105"/>
      <c r="C49" s="50" t="s">
        <v>39</v>
      </c>
      <c r="D49" s="50">
        <f>IF(B4="S355",VLOOKUP($B$3,'Características Perfiles'!$A$4:$Y$21,22),VLOOKUP($B$3,'Características Perfiles'!$A$4:$Y$21,21))</f>
        <v>1</v>
      </c>
      <c r="E49" s="50" t="s">
        <v>38</v>
      </c>
      <c r="F49" s="69">
        <f>IF(B4="S355",VLOOKUP($B$3,'Características Perfiles'!$A$4:$Y$21,24),VLOOKUP($B$3,'Características Perfiles'!$A$4:$Y$21,23))</f>
        <v>1</v>
      </c>
    </row>
    <row r="50" spans="1:6" ht="20.100000000000001" customHeight="1" x14ac:dyDescent="0.2"/>
    <row r="51" spans="1:6" ht="20.100000000000001" customHeight="1" x14ac:dyDescent="0.2"/>
    <row r="58" spans="1:6" x14ac:dyDescent="0.2">
      <c r="B58" s="16"/>
    </row>
    <row r="60" spans="1:6" x14ac:dyDescent="0.2">
      <c r="F60" s="11"/>
    </row>
    <row r="61" spans="1:6" x14ac:dyDescent="0.2">
      <c r="F61" s="11"/>
    </row>
    <row r="62" spans="1:6" x14ac:dyDescent="0.2">
      <c r="B62" s="15"/>
      <c r="F62" s="11"/>
    </row>
    <row r="63" spans="1:6" x14ac:dyDescent="0.2">
      <c r="B63" s="15"/>
      <c r="F63" s="11"/>
    </row>
    <row r="64" spans="1:6" x14ac:dyDescent="0.2">
      <c r="B64" s="15"/>
      <c r="C64" s="15"/>
    </row>
    <row r="65" spans="2:3" x14ac:dyDescent="0.2">
      <c r="C65" s="15"/>
    </row>
    <row r="66" spans="2:3" x14ac:dyDescent="0.2">
      <c r="B66" s="15"/>
    </row>
    <row r="69" spans="2:3" x14ac:dyDescent="0.2">
      <c r="B69" s="15"/>
    </row>
    <row r="70" spans="2:3" x14ac:dyDescent="0.2">
      <c r="B70" s="15"/>
    </row>
    <row r="71" spans="2:3" x14ac:dyDescent="0.2">
      <c r="B71" s="15"/>
    </row>
    <row r="72" spans="2:3" x14ac:dyDescent="0.2">
      <c r="B72" s="15"/>
    </row>
    <row r="73" spans="2:3" x14ac:dyDescent="0.2">
      <c r="B73" s="15"/>
    </row>
    <row r="74" spans="2:3" x14ac:dyDescent="0.2">
      <c r="B74" s="15"/>
    </row>
    <row r="75" spans="2:3" x14ac:dyDescent="0.2">
      <c r="B75" s="15"/>
    </row>
    <row r="77" spans="2:3" x14ac:dyDescent="0.2">
      <c r="B77" s="15"/>
    </row>
    <row r="78" spans="2:3" x14ac:dyDescent="0.2">
      <c r="B78" s="15"/>
    </row>
    <row r="79" spans="2:3" x14ac:dyDescent="0.2">
      <c r="B79" s="15"/>
    </row>
  </sheetData>
  <sheetProtection selectLockedCells="1"/>
  <mergeCells count="30">
    <mergeCell ref="A11:A12"/>
    <mergeCell ref="B11:B12"/>
    <mergeCell ref="A2:F2"/>
    <mergeCell ref="E11:F11"/>
    <mergeCell ref="E12:F12"/>
    <mergeCell ref="C3:C10"/>
    <mergeCell ref="D7:F10"/>
    <mergeCell ref="A49:B49"/>
    <mergeCell ref="E23:F23"/>
    <mergeCell ref="B26:C26"/>
    <mergeCell ref="B27:C27"/>
    <mergeCell ref="E27:F27"/>
    <mergeCell ref="B24:C24"/>
    <mergeCell ref="E24:F24"/>
    <mergeCell ref="B23:C23"/>
    <mergeCell ref="A39:F39"/>
    <mergeCell ref="C40:D40"/>
    <mergeCell ref="E40:F40"/>
    <mergeCell ref="A28:F28"/>
    <mergeCell ref="A19:C19"/>
    <mergeCell ref="D19:F19"/>
    <mergeCell ref="A20:A21"/>
    <mergeCell ref="D20:D21"/>
    <mergeCell ref="B20:C21"/>
    <mergeCell ref="E22:F22"/>
    <mergeCell ref="B25:C25"/>
    <mergeCell ref="B22:C22"/>
    <mergeCell ref="E20:F21"/>
    <mergeCell ref="E26:F26"/>
    <mergeCell ref="E25:F25"/>
  </mergeCells>
  <phoneticPr fontId="1" type="noConversion"/>
  <conditionalFormatting sqref="B20 E20">
    <cfRule type="expression" priority="30" stopIfTrue="1">
      <formula>"(B12="""";""COACCIONES EN EXTREMOS"";"""")"</formula>
    </cfRule>
  </conditionalFormatting>
  <conditionalFormatting sqref="B23:C23">
    <cfRule type="expression" dxfId="28" priority="3">
      <formula>AND(B23&gt;=2,B23&lt;3)</formula>
    </cfRule>
    <cfRule type="expression" dxfId="27" priority="4">
      <formula>B23&gt;=3</formula>
    </cfRule>
  </conditionalFormatting>
  <conditionalFormatting sqref="C38">
    <cfRule type="expression" dxfId="26" priority="76">
      <formula>$I$31&lt;350</formula>
    </cfRule>
    <cfRule type="expression" dxfId="25" priority="77">
      <formula>$I$31&gt;=350</formula>
    </cfRule>
  </conditionalFormatting>
  <conditionalFormatting sqref="D11 D13:D16">
    <cfRule type="expression" dxfId="24" priority="23" stopIfTrue="1">
      <formula>D11&gt;=B11</formula>
    </cfRule>
    <cfRule type="expression" dxfId="23" priority="24" stopIfTrue="1">
      <formula>D11&lt;B11</formula>
    </cfRule>
  </conditionalFormatting>
  <conditionalFormatting sqref="D12">
    <cfRule type="expression" dxfId="22" priority="11" stopIfTrue="1">
      <formula>$A$11="Ned-TRACCIÓN (kN)"</formula>
    </cfRule>
    <cfRule type="expression" dxfId="21" priority="25" stopIfTrue="1">
      <formula>D12&gt;=B11</formula>
    </cfRule>
    <cfRule type="expression" dxfId="20" priority="26" stopIfTrue="1">
      <formula>D12&lt;B11</formula>
    </cfRule>
  </conditionalFormatting>
  <conditionalFormatting sqref="D38">
    <cfRule type="expression" dxfId="19" priority="74">
      <formula>$J$31&lt;300</formula>
    </cfRule>
    <cfRule type="expression" dxfId="18" priority="75">
      <formula>$J$31&gt;=300</formula>
    </cfRule>
  </conditionalFormatting>
  <conditionalFormatting sqref="D49 F49 D51 F51">
    <cfRule type="cellIs" dxfId="17" priority="27" stopIfTrue="1" operator="equal">
      <formula>2</formula>
    </cfRule>
    <cfRule type="cellIs" dxfId="16" priority="28" stopIfTrue="1" operator="equal">
      <formula>3</formula>
    </cfRule>
    <cfRule type="cellIs" dxfId="15" priority="29" stopIfTrue="1" operator="equal">
      <formula>4</formula>
    </cfRule>
  </conditionalFormatting>
  <conditionalFormatting sqref="E38">
    <cfRule type="expression" dxfId="14" priority="72">
      <formula>$K$31&lt;$L$31</formula>
    </cfRule>
    <cfRule type="expression" dxfId="13" priority="73">
      <formula>$J$31&lt;=$K$31</formula>
    </cfRule>
  </conditionalFormatting>
  <conditionalFormatting sqref="E11:F12">
    <cfRule type="containsText" dxfId="12" priority="13" operator="containsText" text="sólo arriostramiento">
      <formula>NOT(ISERROR(SEARCH("sólo arriostramiento",E11)))</formula>
    </cfRule>
    <cfRule type="containsText" dxfId="11" priority="14" operator="containsText" text="ESBELTEZ INTOLERABLE">
      <formula>NOT(ISERROR(SEARCH("ESBELTEZ INTOLERABLE",E11)))</formula>
    </cfRule>
  </conditionalFormatting>
  <conditionalFormatting sqref="E23:F23">
    <cfRule type="expression" dxfId="10" priority="1">
      <formula>AND(E23&gt;=2,E23&lt;3)</formula>
    </cfRule>
    <cfRule type="expression" dxfId="9" priority="2">
      <formula>E23&gt;=3</formula>
    </cfRule>
  </conditionalFormatting>
  <conditionalFormatting sqref="F4:F6">
    <cfRule type="expression" dxfId="8" priority="12" stopIfTrue="1">
      <formula>E4="NO SE COMPRUEBA"</formula>
    </cfRule>
    <cfRule type="cellIs" dxfId="7" priority="31" stopIfTrue="1" operator="between">
      <formula>0</formula>
      <formula>1</formula>
    </cfRule>
    <cfRule type="cellIs" dxfId="6" priority="32" stopIfTrue="1" operator="greaterThan">
      <formula>1</formula>
    </cfRule>
  </conditionalFormatting>
  <conditionalFormatting sqref="F5:F6">
    <cfRule type="expression" dxfId="5" priority="67" stopIfTrue="1">
      <formula>#REF!="NO SE COMPRUEBA"</formula>
    </cfRule>
    <cfRule type="cellIs" dxfId="4" priority="68" stopIfTrue="1" operator="between">
      <formula>0</formula>
      <formula>1</formula>
    </cfRule>
    <cfRule type="cellIs" dxfId="3" priority="69" stopIfTrue="1" operator="greaterThan">
      <formula>1</formula>
    </cfRule>
  </conditionalFormatting>
  <dataValidations disablePrompts="1" xWindow="178" yWindow="274" count="10">
    <dataValidation type="list" allowBlank="1" showInputMessage="1" showErrorMessage="1" sqref="A30" xr:uid="{00000000-0002-0000-0000-000000000000}">
      <formula1>"VOLADIZO,VANO"</formula1>
    </dataValidation>
    <dataValidation type="list" allowBlank="1" showInputMessage="1" showErrorMessage="1" promptTitle="COACCIONES EN LOS EXTREMOS" prompt=" " sqref="E20 B20" xr:uid="{00000000-0002-0000-0000-000001000000}">
      <formula1>coacciones</formula1>
    </dataValidation>
    <dataValidation type="list" showInputMessage="1" showErrorMessage="1" sqref="B4" xr:uid="{00000000-0002-0000-0000-000002000000}">
      <formula1>"S235,S275,S355"</formula1>
    </dataValidation>
    <dataValidation type="list" allowBlank="1" showInputMessage="1" showErrorMessage="1" sqref="B3" xr:uid="{00000000-0002-0000-0000-000003000000}">
      <formula1>nombreperfiles</formula1>
    </dataValidation>
    <dataValidation type="list" allowBlank="1" showInputMessage="1" showErrorMessage="1" sqref="A11" xr:uid="{00000000-0002-0000-0000-000004000000}">
      <formula1>axil</formula1>
    </dataValidation>
    <dataValidation type="list" showInputMessage="1" showErrorMessage="1" sqref="D6" xr:uid="{00000000-0002-0000-0000-000005000000}">
      <formula1>NMV</formula1>
    </dataValidation>
    <dataValidation type="list" allowBlank="1" showInputMessage="1" showErrorMessage="1" sqref="N2" xr:uid="{00000000-0002-0000-0000-000006000000}">
      <formula1>SINO</formula1>
    </dataValidation>
    <dataValidation type="list" allowBlank="1" showInputMessage="1" showErrorMessage="1" sqref="B17 E4:E6" xr:uid="{187E2E6E-7751-4301-B1F4-4B2BE7DB8E80}">
      <formula1>"SÍ,NO SE COMPRUEBA"</formula1>
    </dataValidation>
    <dataValidation type="list" allowBlank="1" showInputMessage="1" showErrorMessage="1" sqref="F29" xr:uid="{3D895831-73CE-46FA-AD60-88FEF0AAF988}">
      <formula1>"FRÁGILES,ORDINARIOS,OTROS CASOS"</formula1>
    </dataValidation>
    <dataValidation showInputMessage="1" showErrorMessage="1" sqref="D7:F10" xr:uid="{B7673FD3-BC2C-4C88-B14D-F9BA673678F4}"/>
  </dataValidations>
  <pageMargins left="0.75" right="0.75" top="1" bottom="1" header="0" footer="0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47"/>
  <sheetViews>
    <sheetView zoomScale="90" workbookViewId="0">
      <selection activeCell="Y25" sqref="Y25"/>
    </sheetView>
  </sheetViews>
  <sheetFormatPr baseColWidth="10" defaultRowHeight="12.75" x14ac:dyDescent="0.2"/>
  <cols>
    <col min="2" max="9" width="6.7109375" customWidth="1"/>
    <col min="10" max="25" width="8.7109375" customWidth="1"/>
  </cols>
  <sheetData>
    <row r="1" spans="1:32" x14ac:dyDescent="0.2">
      <c r="A1">
        <v>1</v>
      </c>
      <c r="B1">
        <f>A1+1</f>
        <v>2</v>
      </c>
      <c r="C1">
        <f t="shared" ref="C1:S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f t="shared" si="0"/>
        <v>7</v>
      </c>
      <c r="H1">
        <f t="shared" si="0"/>
        <v>8</v>
      </c>
      <c r="I1">
        <f t="shared" si="0"/>
        <v>9</v>
      </c>
      <c r="J1">
        <f t="shared" si="0"/>
        <v>10</v>
      </c>
      <c r="K1">
        <f t="shared" si="0"/>
        <v>11</v>
      </c>
      <c r="L1">
        <f t="shared" si="0"/>
        <v>12</v>
      </c>
      <c r="M1">
        <f t="shared" si="0"/>
        <v>13</v>
      </c>
      <c r="N1">
        <f t="shared" si="0"/>
        <v>14</v>
      </c>
      <c r="O1">
        <f t="shared" si="0"/>
        <v>15</v>
      </c>
      <c r="P1">
        <f t="shared" si="0"/>
        <v>16</v>
      </c>
      <c r="Q1">
        <f t="shared" si="0"/>
        <v>17</v>
      </c>
      <c r="R1">
        <f t="shared" si="0"/>
        <v>18</v>
      </c>
      <c r="S1">
        <f t="shared" si="0"/>
        <v>19</v>
      </c>
      <c r="T1">
        <f>S1+1</f>
        <v>20</v>
      </c>
      <c r="U1">
        <f>T1+1</f>
        <v>21</v>
      </c>
      <c r="V1">
        <f>U1+1</f>
        <v>22</v>
      </c>
      <c r="W1">
        <f>V1+1</f>
        <v>23</v>
      </c>
      <c r="X1">
        <f>W1+1</f>
        <v>24</v>
      </c>
      <c r="Y1">
        <v>1</v>
      </c>
      <c r="Z1">
        <f>Y1+1</f>
        <v>2</v>
      </c>
      <c r="AA1">
        <f>Z1+1</f>
        <v>3</v>
      </c>
      <c r="AB1">
        <f>AA1+1</f>
        <v>4</v>
      </c>
      <c r="AC1">
        <f>AB1+1</f>
        <v>5</v>
      </c>
      <c r="AD1">
        <f>AC1+1</f>
        <v>6</v>
      </c>
    </row>
    <row r="2" spans="1:32" ht="18" x14ac:dyDescent="0.25">
      <c r="B2" s="2" t="s">
        <v>6</v>
      </c>
      <c r="U2" s="130" t="s">
        <v>39</v>
      </c>
      <c r="V2" s="130"/>
      <c r="W2" s="130" t="s">
        <v>38</v>
      </c>
      <c r="X2" s="130"/>
      <c r="Z2" s="5" t="s">
        <v>6</v>
      </c>
      <c r="AA2" s="7"/>
      <c r="AD2" s="7"/>
      <c r="AE2" s="7"/>
      <c r="AF2" s="7"/>
    </row>
    <row r="3" spans="1:32" ht="38.25" x14ac:dyDescent="0.2">
      <c r="B3" s="6" t="s">
        <v>43</v>
      </c>
      <c r="C3" s="6" t="s">
        <v>44</v>
      </c>
      <c r="D3" s="6" t="s">
        <v>25</v>
      </c>
      <c r="E3" s="6" t="s">
        <v>26</v>
      </c>
      <c r="F3" s="6" t="s">
        <v>27</v>
      </c>
      <c r="G3" s="6" t="s">
        <v>28</v>
      </c>
      <c r="H3" s="6" t="s">
        <v>29</v>
      </c>
      <c r="I3" s="6" t="s">
        <v>45</v>
      </c>
      <c r="J3" s="6" t="s">
        <v>30</v>
      </c>
      <c r="K3" s="6" t="s">
        <v>31</v>
      </c>
      <c r="L3" s="6" t="s">
        <v>32</v>
      </c>
      <c r="M3" s="6" t="s">
        <v>33</v>
      </c>
      <c r="N3" s="6" t="s">
        <v>34</v>
      </c>
      <c r="O3" s="6" t="s">
        <v>35</v>
      </c>
      <c r="P3" s="6" t="s">
        <v>23</v>
      </c>
      <c r="Q3" s="6" t="s">
        <v>24</v>
      </c>
      <c r="R3" s="6" t="s">
        <v>46</v>
      </c>
      <c r="S3" s="6" t="s">
        <v>36</v>
      </c>
      <c r="T3" s="10" t="s">
        <v>72</v>
      </c>
      <c r="U3" s="6" t="s">
        <v>37</v>
      </c>
      <c r="V3" s="6" t="s">
        <v>22</v>
      </c>
      <c r="W3" s="6" t="s">
        <v>21</v>
      </c>
      <c r="X3" s="6" t="s">
        <v>22</v>
      </c>
      <c r="Y3" s="6" t="s">
        <v>20</v>
      </c>
      <c r="AA3" s="6" t="s">
        <v>48</v>
      </c>
      <c r="AB3" s="6" t="s">
        <v>49</v>
      </c>
      <c r="AC3" s="6" t="s">
        <v>50</v>
      </c>
      <c r="AD3" s="6" t="s">
        <v>42</v>
      </c>
      <c r="AE3" s="6" t="s">
        <v>47</v>
      </c>
    </row>
    <row r="4" spans="1:32" x14ac:dyDescent="0.2">
      <c r="A4" s="3">
        <v>80</v>
      </c>
      <c r="B4">
        <v>80</v>
      </c>
      <c r="C4">
        <v>46</v>
      </c>
      <c r="D4">
        <v>3.8</v>
      </c>
      <c r="E4">
        <v>5.2</v>
      </c>
      <c r="F4">
        <v>5</v>
      </c>
      <c r="G4">
        <v>764</v>
      </c>
      <c r="H4">
        <v>69.599999999999994</v>
      </c>
      <c r="I4">
        <v>59.6</v>
      </c>
      <c r="J4">
        <v>801400</v>
      </c>
      <c r="K4">
        <v>20030</v>
      </c>
      <c r="L4">
        <v>23220</v>
      </c>
      <c r="M4">
        <v>32.4</v>
      </c>
      <c r="N4">
        <v>358</v>
      </c>
      <c r="O4">
        <v>84900</v>
      </c>
      <c r="P4">
        <v>3690</v>
      </c>
      <c r="Q4">
        <v>5820</v>
      </c>
      <c r="R4">
        <v>10.5</v>
      </c>
      <c r="S4">
        <f>G4-I4*D4</f>
        <v>537.52</v>
      </c>
      <c r="T4">
        <v>7000</v>
      </c>
      <c r="U4">
        <v>1</v>
      </c>
      <c r="V4">
        <v>1</v>
      </c>
      <c r="W4">
        <v>1</v>
      </c>
      <c r="X4">
        <v>1</v>
      </c>
      <c r="Y4">
        <v>6</v>
      </c>
      <c r="Z4" s="3">
        <v>80</v>
      </c>
      <c r="AA4">
        <f>IF(AND($D4&lt;=16,$E4&lt;=16),235,IF(OR($D4&gt;40,$E4&gt;40),215,225))</f>
        <v>235</v>
      </c>
      <c r="AB4">
        <f t="shared" ref="AB4:AB21" si="1">IF(AND($D4&lt;=16,$E4&lt;=16),275,IF(OR($D4&gt;40,$E4&gt;40),255,265))</f>
        <v>275</v>
      </c>
      <c r="AC4">
        <f t="shared" ref="AC4:AC21" si="2">IF(AND($D4&lt;=16,$E4&lt;=16),355,IF(OR($D4&gt;40,$E4&gt;40),335,345))</f>
        <v>355</v>
      </c>
      <c r="AD4" s="1" t="str">
        <f>IF($B4/$C4&gt;1.2,IF($E4&lt;=40,"a","b"),IF($E4&lt;=100,"b","d"))</f>
        <v>a</v>
      </c>
      <c r="AE4" s="1" t="str">
        <f>IF($B4/$C4&gt;1.2,IF($E4&lt;=40,"b","c"),IF($E4&lt;=100,"c","d"))</f>
        <v>b</v>
      </c>
    </row>
    <row r="5" spans="1:32" x14ac:dyDescent="0.2">
      <c r="A5">
        <v>100</v>
      </c>
      <c r="B5">
        <v>100</v>
      </c>
      <c r="C5">
        <v>55</v>
      </c>
      <c r="D5">
        <v>4.0999999999999996</v>
      </c>
      <c r="E5">
        <v>5.7</v>
      </c>
      <c r="F5">
        <v>7</v>
      </c>
      <c r="G5">
        <v>1030</v>
      </c>
      <c r="H5">
        <v>88.6</v>
      </c>
      <c r="I5">
        <v>74.599999999999994</v>
      </c>
      <c r="J5">
        <v>1710000</v>
      </c>
      <c r="K5">
        <v>34200</v>
      </c>
      <c r="L5">
        <v>39411</v>
      </c>
      <c r="M5">
        <v>40.700000000000003</v>
      </c>
      <c r="N5">
        <v>508</v>
      </c>
      <c r="O5">
        <v>159200</v>
      </c>
      <c r="P5">
        <v>5790</v>
      </c>
      <c r="Q5">
        <v>9150</v>
      </c>
      <c r="R5">
        <v>12.4</v>
      </c>
      <c r="S5">
        <f t="shared" ref="S5:S21" si="3">G5-I5*D5</f>
        <v>724.1400000000001</v>
      </c>
      <c r="T5">
        <v>120000</v>
      </c>
      <c r="U5">
        <v>1</v>
      </c>
      <c r="V5">
        <v>1</v>
      </c>
      <c r="W5">
        <v>1</v>
      </c>
      <c r="X5">
        <v>1</v>
      </c>
      <c r="Y5">
        <v>8.1</v>
      </c>
      <c r="Z5">
        <v>100</v>
      </c>
      <c r="AA5">
        <f t="shared" ref="AA5:AA21" si="4">IF(AND($D5&lt;=16,$E5&lt;=16),235,IF(OR($D5&gt;40,$E5&gt;40),215,225))</f>
        <v>235</v>
      </c>
      <c r="AB5">
        <f t="shared" si="1"/>
        <v>275</v>
      </c>
      <c r="AC5">
        <f t="shared" si="2"/>
        <v>355</v>
      </c>
      <c r="AD5" s="1" t="str">
        <f t="shared" ref="AD5:AD21" si="5">IF($B5/$C5&gt;1.2,IF($E5&lt;=40,"a","b"),IF($E5&lt;=100,"b","d"))</f>
        <v>a</v>
      </c>
      <c r="AE5" s="1" t="str">
        <f t="shared" ref="AE5:AE21" si="6">IF($B5/$C5&gt;1.2,IF($E5&lt;=40,"b","c"),IF($E5&lt;=100,"c","d"))</f>
        <v>b</v>
      </c>
    </row>
    <row r="6" spans="1:32" x14ac:dyDescent="0.2">
      <c r="A6">
        <v>120</v>
      </c>
      <c r="B6">
        <v>120</v>
      </c>
      <c r="C6">
        <v>64</v>
      </c>
      <c r="D6">
        <v>4.4000000000000004</v>
      </c>
      <c r="E6">
        <v>6.3</v>
      </c>
      <c r="F6">
        <v>7</v>
      </c>
      <c r="G6">
        <v>1320</v>
      </c>
      <c r="H6">
        <v>107.4</v>
      </c>
      <c r="I6">
        <v>93.4</v>
      </c>
      <c r="J6">
        <v>3178000</v>
      </c>
      <c r="K6">
        <v>52960</v>
      </c>
      <c r="L6">
        <v>60730</v>
      </c>
      <c r="M6">
        <v>49</v>
      </c>
      <c r="N6">
        <v>631</v>
      </c>
      <c r="O6">
        <v>276700</v>
      </c>
      <c r="P6">
        <v>8650</v>
      </c>
      <c r="Q6">
        <v>13580</v>
      </c>
      <c r="R6">
        <v>14.5</v>
      </c>
      <c r="S6">
        <f t="shared" si="3"/>
        <v>909.04</v>
      </c>
      <c r="T6">
        <v>17400</v>
      </c>
      <c r="U6">
        <v>1</v>
      </c>
      <c r="V6">
        <v>1</v>
      </c>
      <c r="W6">
        <v>1</v>
      </c>
      <c r="X6">
        <v>1</v>
      </c>
      <c r="Y6">
        <v>10.4</v>
      </c>
      <c r="Z6">
        <v>120</v>
      </c>
      <c r="AA6">
        <f t="shared" si="4"/>
        <v>235</v>
      </c>
      <c r="AB6">
        <f t="shared" si="1"/>
        <v>275</v>
      </c>
      <c r="AC6">
        <f t="shared" si="2"/>
        <v>355</v>
      </c>
      <c r="AD6" s="1" t="str">
        <f t="shared" si="5"/>
        <v>a</v>
      </c>
      <c r="AE6" s="1" t="str">
        <f t="shared" si="6"/>
        <v>b</v>
      </c>
    </row>
    <row r="7" spans="1:32" x14ac:dyDescent="0.2">
      <c r="A7">
        <v>140</v>
      </c>
      <c r="B7">
        <v>140</v>
      </c>
      <c r="C7">
        <v>73</v>
      </c>
      <c r="D7">
        <v>4.7</v>
      </c>
      <c r="E7">
        <v>6.9</v>
      </c>
      <c r="F7">
        <v>7</v>
      </c>
      <c r="G7">
        <v>1640</v>
      </c>
      <c r="H7">
        <v>126.2</v>
      </c>
      <c r="I7">
        <v>112.2</v>
      </c>
      <c r="J7">
        <v>5412000</v>
      </c>
      <c r="K7">
        <v>77320</v>
      </c>
      <c r="L7">
        <v>88340</v>
      </c>
      <c r="M7">
        <v>57.4</v>
      </c>
      <c r="N7">
        <v>764</v>
      </c>
      <c r="O7">
        <v>449200</v>
      </c>
      <c r="P7">
        <v>12310</v>
      </c>
      <c r="Q7">
        <v>19250</v>
      </c>
      <c r="R7">
        <v>16.5</v>
      </c>
      <c r="S7">
        <f t="shared" si="3"/>
        <v>1112.6599999999999</v>
      </c>
      <c r="T7">
        <v>24500</v>
      </c>
      <c r="U7">
        <v>1</v>
      </c>
      <c r="V7">
        <v>1</v>
      </c>
      <c r="W7">
        <v>1</v>
      </c>
      <c r="X7">
        <v>1</v>
      </c>
      <c r="Y7">
        <v>12.9</v>
      </c>
      <c r="Z7">
        <v>140</v>
      </c>
      <c r="AA7">
        <f t="shared" si="4"/>
        <v>235</v>
      </c>
      <c r="AB7">
        <f t="shared" si="1"/>
        <v>275</v>
      </c>
      <c r="AC7">
        <f t="shared" si="2"/>
        <v>355</v>
      </c>
      <c r="AD7" s="1" t="str">
        <f t="shared" si="5"/>
        <v>a</v>
      </c>
      <c r="AE7" s="1" t="str">
        <f t="shared" si="6"/>
        <v>b</v>
      </c>
    </row>
    <row r="8" spans="1:32" x14ac:dyDescent="0.2">
      <c r="A8">
        <v>160</v>
      </c>
      <c r="B8">
        <v>160</v>
      </c>
      <c r="C8">
        <v>82</v>
      </c>
      <c r="D8">
        <v>5</v>
      </c>
      <c r="E8">
        <v>7.4</v>
      </c>
      <c r="F8">
        <v>9</v>
      </c>
      <c r="G8">
        <v>2010</v>
      </c>
      <c r="H8">
        <v>145.19999999999999</v>
      </c>
      <c r="I8">
        <v>127.2</v>
      </c>
      <c r="J8">
        <v>8693000</v>
      </c>
      <c r="K8">
        <v>108700</v>
      </c>
      <c r="L8">
        <v>123900</v>
      </c>
      <c r="M8">
        <v>65.8</v>
      </c>
      <c r="N8">
        <v>966</v>
      </c>
      <c r="O8">
        <v>683100</v>
      </c>
      <c r="P8">
        <v>19660</v>
      </c>
      <c r="Q8">
        <v>26100</v>
      </c>
      <c r="R8">
        <v>18.399999999999999</v>
      </c>
      <c r="S8">
        <f t="shared" si="3"/>
        <v>1374</v>
      </c>
      <c r="T8">
        <v>36000</v>
      </c>
      <c r="U8">
        <v>1</v>
      </c>
      <c r="V8">
        <v>1</v>
      </c>
      <c r="W8">
        <v>1</v>
      </c>
      <c r="X8">
        <v>1</v>
      </c>
      <c r="Y8">
        <v>15.8</v>
      </c>
      <c r="Z8">
        <v>160</v>
      </c>
      <c r="AA8">
        <f t="shared" si="4"/>
        <v>235</v>
      </c>
      <c r="AB8">
        <f t="shared" si="1"/>
        <v>275</v>
      </c>
      <c r="AC8">
        <f t="shared" si="2"/>
        <v>355</v>
      </c>
      <c r="AD8" s="1" t="str">
        <f t="shared" si="5"/>
        <v>a</v>
      </c>
      <c r="AE8" s="1" t="str">
        <f t="shared" si="6"/>
        <v>b</v>
      </c>
    </row>
    <row r="9" spans="1:32" x14ac:dyDescent="0.2">
      <c r="A9">
        <v>180</v>
      </c>
      <c r="B9">
        <v>180</v>
      </c>
      <c r="C9">
        <v>91</v>
      </c>
      <c r="D9">
        <v>5.3</v>
      </c>
      <c r="E9">
        <v>8</v>
      </c>
      <c r="F9">
        <v>9</v>
      </c>
      <c r="G9">
        <v>2390</v>
      </c>
      <c r="H9">
        <v>164</v>
      </c>
      <c r="I9">
        <v>146</v>
      </c>
      <c r="J9">
        <v>13170000</v>
      </c>
      <c r="K9">
        <v>146300</v>
      </c>
      <c r="L9">
        <v>166400</v>
      </c>
      <c r="M9">
        <v>74.2</v>
      </c>
      <c r="N9">
        <v>1125</v>
      </c>
      <c r="O9">
        <v>1009000</v>
      </c>
      <c r="P9">
        <v>22160</v>
      </c>
      <c r="Q9">
        <v>34600</v>
      </c>
      <c r="R9">
        <v>20.5</v>
      </c>
      <c r="S9">
        <f t="shared" si="3"/>
        <v>1616.2</v>
      </c>
      <c r="T9">
        <v>47900</v>
      </c>
      <c r="U9">
        <v>1</v>
      </c>
      <c r="V9">
        <v>1</v>
      </c>
      <c r="W9">
        <v>1</v>
      </c>
      <c r="X9">
        <v>2</v>
      </c>
      <c r="Y9">
        <v>18.8</v>
      </c>
      <c r="Z9">
        <v>180</v>
      </c>
      <c r="AA9">
        <f t="shared" si="4"/>
        <v>235</v>
      </c>
      <c r="AB9">
        <f t="shared" si="1"/>
        <v>275</v>
      </c>
      <c r="AC9">
        <f t="shared" si="2"/>
        <v>355</v>
      </c>
      <c r="AD9" s="1" t="str">
        <f t="shared" si="5"/>
        <v>a</v>
      </c>
      <c r="AE9" s="1" t="str">
        <f t="shared" si="6"/>
        <v>b</v>
      </c>
    </row>
    <row r="10" spans="1:32" x14ac:dyDescent="0.2">
      <c r="A10">
        <v>200</v>
      </c>
      <c r="B10">
        <v>200</v>
      </c>
      <c r="C10">
        <v>100</v>
      </c>
      <c r="D10">
        <v>5.6</v>
      </c>
      <c r="E10">
        <v>8.5</v>
      </c>
      <c r="F10">
        <v>12</v>
      </c>
      <c r="G10">
        <v>2850</v>
      </c>
      <c r="H10">
        <v>183</v>
      </c>
      <c r="I10">
        <v>159</v>
      </c>
      <c r="J10">
        <v>19430000</v>
      </c>
      <c r="K10">
        <v>194300</v>
      </c>
      <c r="L10">
        <v>220600</v>
      </c>
      <c r="M10">
        <v>82.6</v>
      </c>
      <c r="N10">
        <v>1400</v>
      </c>
      <c r="O10">
        <v>1424000</v>
      </c>
      <c r="P10">
        <v>28470</v>
      </c>
      <c r="Q10">
        <v>44610</v>
      </c>
      <c r="R10">
        <v>22.4</v>
      </c>
      <c r="S10">
        <f t="shared" si="3"/>
        <v>1959.6</v>
      </c>
      <c r="T10">
        <v>69800</v>
      </c>
      <c r="U10">
        <v>1</v>
      </c>
      <c r="V10">
        <v>1</v>
      </c>
      <c r="W10">
        <v>1</v>
      </c>
      <c r="X10">
        <v>2</v>
      </c>
      <c r="Y10">
        <v>22.4</v>
      </c>
      <c r="Z10">
        <v>200</v>
      </c>
      <c r="AA10">
        <f t="shared" si="4"/>
        <v>235</v>
      </c>
      <c r="AB10">
        <f t="shared" si="1"/>
        <v>275</v>
      </c>
      <c r="AC10">
        <f t="shared" si="2"/>
        <v>355</v>
      </c>
      <c r="AD10" s="1" t="str">
        <f t="shared" si="5"/>
        <v>a</v>
      </c>
      <c r="AE10" s="1" t="str">
        <f t="shared" si="6"/>
        <v>b</v>
      </c>
    </row>
    <row r="11" spans="1:32" x14ac:dyDescent="0.2">
      <c r="A11">
        <v>220</v>
      </c>
      <c r="B11">
        <v>220</v>
      </c>
      <c r="C11">
        <v>110</v>
      </c>
      <c r="D11">
        <v>5.9</v>
      </c>
      <c r="E11">
        <v>9.1999999999999993</v>
      </c>
      <c r="F11">
        <v>12</v>
      </c>
      <c r="G11">
        <v>3340</v>
      </c>
      <c r="H11">
        <v>201.6</v>
      </c>
      <c r="I11">
        <v>177.6</v>
      </c>
      <c r="J11">
        <v>27720000</v>
      </c>
      <c r="K11">
        <v>252000</v>
      </c>
      <c r="L11">
        <v>285400</v>
      </c>
      <c r="M11">
        <v>91.1</v>
      </c>
      <c r="N11">
        <v>1588</v>
      </c>
      <c r="O11">
        <v>2049000</v>
      </c>
      <c r="P11">
        <v>37250</v>
      </c>
      <c r="Q11">
        <v>58110</v>
      </c>
      <c r="R11">
        <v>24.8</v>
      </c>
      <c r="S11">
        <f t="shared" si="3"/>
        <v>2292.16</v>
      </c>
      <c r="T11">
        <v>90700</v>
      </c>
      <c r="U11">
        <v>1</v>
      </c>
      <c r="V11">
        <v>1</v>
      </c>
      <c r="W11">
        <v>1</v>
      </c>
      <c r="X11">
        <v>2</v>
      </c>
      <c r="Y11">
        <v>26.2</v>
      </c>
      <c r="Z11">
        <v>220</v>
      </c>
      <c r="AA11">
        <f t="shared" si="4"/>
        <v>235</v>
      </c>
      <c r="AB11">
        <f t="shared" si="1"/>
        <v>275</v>
      </c>
      <c r="AC11">
        <f t="shared" si="2"/>
        <v>355</v>
      </c>
      <c r="AD11" s="1" t="str">
        <f t="shared" si="5"/>
        <v>a</v>
      </c>
      <c r="AE11" s="1" t="str">
        <f t="shared" si="6"/>
        <v>b</v>
      </c>
    </row>
    <row r="12" spans="1:32" x14ac:dyDescent="0.2">
      <c r="A12">
        <v>240</v>
      </c>
      <c r="B12">
        <v>240</v>
      </c>
      <c r="C12">
        <v>120</v>
      </c>
      <c r="D12">
        <v>6.2</v>
      </c>
      <c r="E12">
        <v>9.8000000000000007</v>
      </c>
      <c r="F12">
        <v>15</v>
      </c>
      <c r="G12">
        <v>3910</v>
      </c>
      <c r="H12">
        <v>220.4</v>
      </c>
      <c r="I12">
        <v>190.4</v>
      </c>
      <c r="J12">
        <v>32900000</v>
      </c>
      <c r="K12">
        <v>324300</v>
      </c>
      <c r="L12">
        <v>366600</v>
      </c>
      <c r="M12">
        <v>99.7</v>
      </c>
      <c r="N12">
        <v>1914</v>
      </c>
      <c r="O12">
        <v>2836000</v>
      </c>
      <c r="P12">
        <v>47270</v>
      </c>
      <c r="Q12">
        <v>73920</v>
      </c>
      <c r="R12">
        <v>29.6</v>
      </c>
      <c r="S12">
        <f t="shared" si="3"/>
        <v>2729.52</v>
      </c>
      <c r="T12">
        <v>129000</v>
      </c>
      <c r="U12">
        <v>1</v>
      </c>
      <c r="V12">
        <v>1</v>
      </c>
      <c r="W12">
        <v>1</v>
      </c>
      <c r="X12">
        <v>2</v>
      </c>
      <c r="Y12">
        <v>30.7</v>
      </c>
      <c r="Z12">
        <v>240</v>
      </c>
      <c r="AA12">
        <f t="shared" si="4"/>
        <v>235</v>
      </c>
      <c r="AB12">
        <f t="shared" si="1"/>
        <v>275</v>
      </c>
      <c r="AC12">
        <f t="shared" si="2"/>
        <v>355</v>
      </c>
      <c r="AD12" s="1" t="str">
        <f t="shared" si="5"/>
        <v>a</v>
      </c>
      <c r="AE12" s="1" t="str">
        <f t="shared" si="6"/>
        <v>b</v>
      </c>
    </row>
    <row r="13" spans="1:32" x14ac:dyDescent="0.2">
      <c r="A13">
        <v>270</v>
      </c>
      <c r="B13">
        <v>270</v>
      </c>
      <c r="C13">
        <v>135</v>
      </c>
      <c r="D13">
        <v>6.6</v>
      </c>
      <c r="E13">
        <v>10.199999999999999</v>
      </c>
      <c r="F13">
        <v>15</v>
      </c>
      <c r="G13">
        <v>4590</v>
      </c>
      <c r="H13">
        <v>249.6</v>
      </c>
      <c r="I13">
        <v>219.6</v>
      </c>
      <c r="J13">
        <v>57900000</v>
      </c>
      <c r="K13">
        <v>429000</v>
      </c>
      <c r="L13">
        <v>484000</v>
      </c>
      <c r="M13">
        <v>112</v>
      </c>
      <c r="N13">
        <v>2210</v>
      </c>
      <c r="O13">
        <v>4200000</v>
      </c>
      <c r="P13">
        <v>62200</v>
      </c>
      <c r="Q13">
        <v>97000</v>
      </c>
      <c r="R13">
        <v>30.2</v>
      </c>
      <c r="S13">
        <f t="shared" si="3"/>
        <v>3140.6400000000003</v>
      </c>
      <c r="T13">
        <v>159000</v>
      </c>
      <c r="U13">
        <v>1</v>
      </c>
      <c r="V13">
        <v>1</v>
      </c>
      <c r="W13">
        <v>2</v>
      </c>
      <c r="X13">
        <v>3</v>
      </c>
      <c r="Y13">
        <v>36.1</v>
      </c>
      <c r="AA13">
        <f t="shared" si="4"/>
        <v>235</v>
      </c>
      <c r="AB13">
        <f t="shared" si="1"/>
        <v>275</v>
      </c>
      <c r="AC13">
        <f t="shared" si="2"/>
        <v>355</v>
      </c>
      <c r="AD13" s="1" t="str">
        <f t="shared" si="5"/>
        <v>a</v>
      </c>
      <c r="AE13" s="1" t="str">
        <f t="shared" si="6"/>
        <v>b</v>
      </c>
    </row>
    <row r="14" spans="1:32" x14ac:dyDescent="0.2">
      <c r="A14">
        <v>300</v>
      </c>
      <c r="B14">
        <v>300</v>
      </c>
      <c r="C14">
        <v>150</v>
      </c>
      <c r="D14">
        <v>7.1</v>
      </c>
      <c r="E14">
        <v>10.7</v>
      </c>
      <c r="F14">
        <v>15</v>
      </c>
      <c r="G14">
        <v>5380</v>
      </c>
      <c r="H14">
        <v>278.60000000000002</v>
      </c>
      <c r="I14">
        <v>248.6</v>
      </c>
      <c r="J14">
        <v>83560000</v>
      </c>
      <c r="K14">
        <v>557100</v>
      </c>
      <c r="L14">
        <v>628400</v>
      </c>
      <c r="M14">
        <v>124.6</v>
      </c>
      <c r="N14">
        <v>2568</v>
      </c>
      <c r="O14">
        <v>6038000</v>
      </c>
      <c r="P14">
        <v>80500</v>
      </c>
      <c r="Q14">
        <v>125200</v>
      </c>
      <c r="R14">
        <v>33.5</v>
      </c>
      <c r="S14">
        <f t="shared" si="3"/>
        <v>3614.94</v>
      </c>
      <c r="T14">
        <v>201000</v>
      </c>
      <c r="U14">
        <v>1</v>
      </c>
      <c r="V14">
        <v>1</v>
      </c>
      <c r="W14">
        <v>2</v>
      </c>
      <c r="X14">
        <v>4</v>
      </c>
      <c r="Y14">
        <v>42.2</v>
      </c>
      <c r="Z14">
        <v>300</v>
      </c>
      <c r="AA14">
        <f t="shared" si="4"/>
        <v>235</v>
      </c>
      <c r="AB14">
        <f t="shared" si="1"/>
        <v>275</v>
      </c>
      <c r="AC14">
        <f t="shared" si="2"/>
        <v>355</v>
      </c>
      <c r="AD14" s="1" t="str">
        <f t="shared" si="5"/>
        <v>a</v>
      </c>
      <c r="AE14" s="1" t="str">
        <f t="shared" si="6"/>
        <v>b</v>
      </c>
    </row>
    <row r="15" spans="1:32" x14ac:dyDescent="0.2">
      <c r="A15">
        <v>330</v>
      </c>
      <c r="B15">
        <v>330</v>
      </c>
      <c r="C15">
        <v>160</v>
      </c>
      <c r="D15">
        <v>7.5</v>
      </c>
      <c r="E15">
        <v>11.5</v>
      </c>
      <c r="F15">
        <v>18</v>
      </c>
      <c r="G15">
        <v>6260</v>
      </c>
      <c r="H15">
        <v>307</v>
      </c>
      <c r="I15">
        <v>271</v>
      </c>
      <c r="J15">
        <v>117700000</v>
      </c>
      <c r="K15">
        <v>713100</v>
      </c>
      <c r="L15">
        <v>804300</v>
      </c>
      <c r="M15">
        <v>137.1</v>
      </c>
      <c r="N15">
        <v>3081</v>
      </c>
      <c r="O15">
        <v>7881000</v>
      </c>
      <c r="P15">
        <v>98520</v>
      </c>
      <c r="Q15">
        <v>153700</v>
      </c>
      <c r="R15">
        <v>35.5</v>
      </c>
      <c r="S15">
        <f t="shared" si="3"/>
        <v>4227.5</v>
      </c>
      <c r="T15">
        <v>282000</v>
      </c>
      <c r="U15">
        <v>1</v>
      </c>
      <c r="V15">
        <v>1</v>
      </c>
      <c r="W15">
        <v>2</v>
      </c>
      <c r="X15">
        <v>4</v>
      </c>
      <c r="Y15">
        <v>49.1</v>
      </c>
      <c r="Z15">
        <v>330</v>
      </c>
      <c r="AA15">
        <f t="shared" si="4"/>
        <v>235</v>
      </c>
      <c r="AB15">
        <f t="shared" si="1"/>
        <v>275</v>
      </c>
      <c r="AC15">
        <f t="shared" si="2"/>
        <v>355</v>
      </c>
      <c r="AD15" s="1" t="str">
        <f t="shared" si="5"/>
        <v>a</v>
      </c>
      <c r="AE15" s="1" t="str">
        <f t="shared" si="6"/>
        <v>b</v>
      </c>
    </row>
    <row r="16" spans="1:32" x14ac:dyDescent="0.2">
      <c r="A16">
        <v>360</v>
      </c>
      <c r="B16">
        <v>360</v>
      </c>
      <c r="C16">
        <v>170</v>
      </c>
      <c r="D16">
        <v>8</v>
      </c>
      <c r="E16">
        <v>12.7</v>
      </c>
      <c r="F16">
        <v>18</v>
      </c>
      <c r="G16">
        <v>7270</v>
      </c>
      <c r="H16">
        <v>334.6</v>
      </c>
      <c r="I16">
        <v>298.60000000000002</v>
      </c>
      <c r="J16">
        <v>162700000</v>
      </c>
      <c r="K16">
        <v>903600</v>
      </c>
      <c r="L16">
        <v>1019000</v>
      </c>
      <c r="M16">
        <v>149.5</v>
      </c>
      <c r="N16">
        <v>3514</v>
      </c>
      <c r="O16">
        <v>10430000</v>
      </c>
      <c r="P16">
        <v>122800</v>
      </c>
      <c r="Q16">
        <v>191100</v>
      </c>
      <c r="R16">
        <v>37.9</v>
      </c>
      <c r="S16">
        <f t="shared" si="3"/>
        <v>4881.2</v>
      </c>
      <c r="T16">
        <v>373000</v>
      </c>
      <c r="U16">
        <v>1</v>
      </c>
      <c r="V16">
        <v>1</v>
      </c>
      <c r="W16">
        <v>2</v>
      </c>
      <c r="X16">
        <v>4</v>
      </c>
      <c r="Y16">
        <v>57.1</v>
      </c>
      <c r="Z16">
        <v>360</v>
      </c>
      <c r="AA16">
        <f t="shared" si="4"/>
        <v>235</v>
      </c>
      <c r="AB16">
        <f t="shared" si="1"/>
        <v>275</v>
      </c>
      <c r="AC16">
        <f t="shared" si="2"/>
        <v>355</v>
      </c>
      <c r="AD16" s="1" t="str">
        <f t="shared" si="5"/>
        <v>a</v>
      </c>
      <c r="AE16" s="1" t="str">
        <f t="shared" si="6"/>
        <v>b</v>
      </c>
    </row>
    <row r="17" spans="1:31" x14ac:dyDescent="0.2">
      <c r="A17">
        <v>400</v>
      </c>
      <c r="B17">
        <v>400</v>
      </c>
      <c r="C17">
        <v>180</v>
      </c>
      <c r="D17">
        <v>8.6</v>
      </c>
      <c r="E17">
        <v>13.5</v>
      </c>
      <c r="F17">
        <v>21</v>
      </c>
      <c r="G17">
        <v>8450</v>
      </c>
      <c r="H17">
        <v>373</v>
      </c>
      <c r="I17">
        <v>331</v>
      </c>
      <c r="J17">
        <v>231300000</v>
      </c>
      <c r="K17">
        <v>1156000</v>
      </c>
      <c r="L17">
        <v>1307000</v>
      </c>
      <c r="M17">
        <v>165.5</v>
      </c>
      <c r="N17">
        <v>4269</v>
      </c>
      <c r="O17">
        <v>13180000</v>
      </c>
      <c r="P17">
        <v>146400</v>
      </c>
      <c r="Q17">
        <v>229000</v>
      </c>
      <c r="R17">
        <v>39.5</v>
      </c>
      <c r="S17">
        <f t="shared" si="3"/>
        <v>5603.4</v>
      </c>
      <c r="T17">
        <v>511000</v>
      </c>
      <c r="U17">
        <v>1</v>
      </c>
      <c r="V17">
        <v>1</v>
      </c>
      <c r="W17">
        <v>3</v>
      </c>
      <c r="X17">
        <v>4</v>
      </c>
      <c r="Y17">
        <v>66.3</v>
      </c>
      <c r="Z17">
        <v>400</v>
      </c>
      <c r="AA17">
        <f t="shared" si="4"/>
        <v>235</v>
      </c>
      <c r="AB17">
        <f t="shared" si="1"/>
        <v>275</v>
      </c>
      <c r="AC17">
        <f t="shared" si="2"/>
        <v>355</v>
      </c>
      <c r="AD17" s="1" t="str">
        <f t="shared" si="5"/>
        <v>a</v>
      </c>
      <c r="AE17" s="1" t="str">
        <f t="shared" si="6"/>
        <v>b</v>
      </c>
    </row>
    <row r="18" spans="1:31" x14ac:dyDescent="0.2">
      <c r="A18">
        <v>450</v>
      </c>
      <c r="B18">
        <v>450</v>
      </c>
      <c r="C18">
        <v>190</v>
      </c>
      <c r="D18">
        <v>9.4</v>
      </c>
      <c r="E18">
        <v>14.6</v>
      </c>
      <c r="F18">
        <v>21</v>
      </c>
      <c r="G18">
        <v>9880</v>
      </c>
      <c r="H18">
        <v>420.8</v>
      </c>
      <c r="I18">
        <v>378.8</v>
      </c>
      <c r="J18">
        <v>337400000</v>
      </c>
      <c r="K18">
        <v>1500000</v>
      </c>
      <c r="L18">
        <v>1702000</v>
      </c>
      <c r="M18">
        <v>184.8</v>
      </c>
      <c r="N18">
        <v>5085</v>
      </c>
      <c r="O18">
        <v>16760000</v>
      </c>
      <c r="P18">
        <v>176400</v>
      </c>
      <c r="Q18">
        <v>276400</v>
      </c>
      <c r="R18">
        <v>41.2</v>
      </c>
      <c r="S18">
        <f t="shared" si="3"/>
        <v>6319.28</v>
      </c>
      <c r="T18">
        <v>669000</v>
      </c>
      <c r="U18">
        <v>1</v>
      </c>
      <c r="V18">
        <v>1</v>
      </c>
      <c r="W18">
        <v>3</v>
      </c>
      <c r="X18">
        <v>4</v>
      </c>
      <c r="Y18">
        <v>77.599999999999994</v>
      </c>
      <c r="Z18">
        <v>450</v>
      </c>
      <c r="AA18">
        <f t="shared" si="4"/>
        <v>235</v>
      </c>
      <c r="AB18">
        <f t="shared" si="1"/>
        <v>275</v>
      </c>
      <c r="AC18">
        <f t="shared" si="2"/>
        <v>355</v>
      </c>
      <c r="AD18" s="1" t="str">
        <f t="shared" si="5"/>
        <v>a</v>
      </c>
      <c r="AE18" s="1" t="str">
        <f t="shared" si="6"/>
        <v>b</v>
      </c>
    </row>
    <row r="19" spans="1:31" x14ac:dyDescent="0.2">
      <c r="A19">
        <v>500</v>
      </c>
      <c r="B19">
        <v>500</v>
      </c>
      <c r="C19">
        <v>200</v>
      </c>
      <c r="D19">
        <v>10.199999999999999</v>
      </c>
      <c r="E19">
        <v>16</v>
      </c>
      <c r="F19">
        <v>21</v>
      </c>
      <c r="G19">
        <v>11600</v>
      </c>
      <c r="H19">
        <v>468</v>
      </c>
      <c r="I19">
        <v>426</v>
      </c>
      <c r="J19">
        <v>482000000</v>
      </c>
      <c r="K19">
        <v>1928000</v>
      </c>
      <c r="L19">
        <v>2194000</v>
      </c>
      <c r="M19">
        <v>204.3</v>
      </c>
      <c r="N19">
        <v>5987</v>
      </c>
      <c r="O19">
        <v>21420000</v>
      </c>
      <c r="P19">
        <v>214200</v>
      </c>
      <c r="Q19">
        <v>335900</v>
      </c>
      <c r="R19">
        <v>43.1</v>
      </c>
      <c r="S19">
        <f t="shared" si="3"/>
        <v>7254.8</v>
      </c>
      <c r="T19">
        <v>893000</v>
      </c>
      <c r="U19">
        <v>1</v>
      </c>
      <c r="V19">
        <v>1</v>
      </c>
      <c r="W19">
        <v>3</v>
      </c>
      <c r="X19">
        <v>4</v>
      </c>
      <c r="Y19">
        <v>90.7</v>
      </c>
      <c r="Z19">
        <v>500</v>
      </c>
      <c r="AA19">
        <f t="shared" si="4"/>
        <v>235</v>
      </c>
      <c r="AB19">
        <f t="shared" si="1"/>
        <v>275</v>
      </c>
      <c r="AC19">
        <f t="shared" si="2"/>
        <v>355</v>
      </c>
      <c r="AD19" s="1" t="str">
        <f t="shared" si="5"/>
        <v>a</v>
      </c>
      <c r="AE19" s="1" t="str">
        <f t="shared" si="6"/>
        <v>b</v>
      </c>
    </row>
    <row r="20" spans="1:31" x14ac:dyDescent="0.2">
      <c r="A20">
        <v>550</v>
      </c>
      <c r="B20">
        <v>550</v>
      </c>
      <c r="C20">
        <v>210</v>
      </c>
      <c r="D20">
        <v>11.1</v>
      </c>
      <c r="E20">
        <v>17.2</v>
      </c>
      <c r="F20">
        <v>24</v>
      </c>
      <c r="G20">
        <v>13400</v>
      </c>
      <c r="H20">
        <v>515.6</v>
      </c>
      <c r="I20">
        <v>467.6</v>
      </c>
      <c r="J20">
        <v>671200000</v>
      </c>
      <c r="K20">
        <v>2441000</v>
      </c>
      <c r="L20">
        <v>2787000</v>
      </c>
      <c r="M20">
        <v>223.5</v>
      </c>
      <c r="N20">
        <v>7234</v>
      </c>
      <c r="O20">
        <v>26680000</v>
      </c>
      <c r="P20">
        <v>254100</v>
      </c>
      <c r="Q20">
        <v>400500</v>
      </c>
      <c r="R20">
        <v>44.5</v>
      </c>
      <c r="S20">
        <f t="shared" si="3"/>
        <v>8209.64</v>
      </c>
      <c r="T20">
        <v>1230000</v>
      </c>
      <c r="U20">
        <v>1</v>
      </c>
      <c r="V20">
        <v>1</v>
      </c>
      <c r="W20">
        <v>4</v>
      </c>
      <c r="X20">
        <v>4</v>
      </c>
      <c r="Y20">
        <v>106</v>
      </c>
      <c r="Z20">
        <v>550</v>
      </c>
      <c r="AA20">
        <f t="shared" si="4"/>
        <v>225</v>
      </c>
      <c r="AB20">
        <f t="shared" si="1"/>
        <v>265</v>
      </c>
      <c r="AC20">
        <f t="shared" si="2"/>
        <v>345</v>
      </c>
      <c r="AD20" s="1" t="str">
        <f t="shared" si="5"/>
        <v>a</v>
      </c>
      <c r="AE20" s="1" t="str">
        <f t="shared" si="6"/>
        <v>b</v>
      </c>
    </row>
    <row r="21" spans="1:31" s="4" customFormat="1" ht="13.5" thickBot="1" x14ac:dyDescent="0.25">
      <c r="A21" s="4">
        <v>600</v>
      </c>
      <c r="B21" s="4">
        <v>600</v>
      </c>
      <c r="C21" s="4">
        <v>220</v>
      </c>
      <c r="D21" s="4">
        <v>12</v>
      </c>
      <c r="E21" s="4">
        <v>19</v>
      </c>
      <c r="F21" s="4">
        <v>24</v>
      </c>
      <c r="G21" s="4">
        <v>15600</v>
      </c>
      <c r="H21" s="4">
        <v>562</v>
      </c>
      <c r="I21" s="4">
        <v>514</v>
      </c>
      <c r="J21" s="4">
        <v>920800000</v>
      </c>
      <c r="K21" s="4">
        <v>3069000</v>
      </c>
      <c r="L21" s="4">
        <v>3512000</v>
      </c>
      <c r="M21" s="4">
        <v>243</v>
      </c>
      <c r="N21" s="4">
        <v>8378</v>
      </c>
      <c r="O21" s="4">
        <v>33870000</v>
      </c>
      <c r="P21" s="4">
        <v>307900</v>
      </c>
      <c r="Q21" s="4">
        <v>485600</v>
      </c>
      <c r="R21" s="4">
        <v>46.6</v>
      </c>
      <c r="S21" s="4">
        <f t="shared" si="3"/>
        <v>9432</v>
      </c>
      <c r="T21" s="4">
        <v>1650000</v>
      </c>
      <c r="U21" s="4">
        <v>1</v>
      </c>
      <c r="V21" s="4">
        <v>1</v>
      </c>
      <c r="W21" s="4">
        <v>4</v>
      </c>
      <c r="X21" s="4">
        <v>4</v>
      </c>
      <c r="Y21" s="4">
        <v>122</v>
      </c>
      <c r="Z21" s="4">
        <v>600</v>
      </c>
      <c r="AA21" s="4">
        <f t="shared" si="4"/>
        <v>225</v>
      </c>
      <c r="AB21" s="4">
        <f t="shared" si="1"/>
        <v>265</v>
      </c>
      <c r="AC21" s="4">
        <f t="shared" si="2"/>
        <v>345</v>
      </c>
      <c r="AD21" s="8" t="str">
        <f t="shared" si="5"/>
        <v>a</v>
      </c>
      <c r="AE21" s="8" t="str">
        <f t="shared" si="6"/>
        <v>b</v>
      </c>
    </row>
    <row r="22" spans="1:31" ht="13.5" thickTop="1" x14ac:dyDescent="0.2"/>
    <row r="23" spans="1:31" ht="18" x14ac:dyDescent="0.25">
      <c r="B23" s="2"/>
      <c r="U23" s="130"/>
      <c r="V23" s="130"/>
      <c r="W23" s="130"/>
      <c r="X23" s="130"/>
    </row>
    <row r="24" spans="1:31" ht="18" x14ac:dyDescent="0.25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2"/>
    </row>
    <row r="47" customFormat="1" x14ac:dyDescent="0.2"/>
  </sheetData>
  <sheetProtection selectLockedCells="1" selectUnlockedCells="1"/>
  <mergeCells count="4">
    <mergeCell ref="U23:V23"/>
    <mergeCell ref="U2:V2"/>
    <mergeCell ref="W2:X2"/>
    <mergeCell ref="W23:X23"/>
  </mergeCells>
  <phoneticPr fontId="1" type="noConversion"/>
  <conditionalFormatting sqref="U4:X21 Y13 U25:X47">
    <cfRule type="cellIs" dxfId="2" priority="1" stopIfTrue="1" operator="equal">
      <formula>2</formula>
    </cfRule>
    <cfRule type="cellIs" dxfId="1" priority="2" stopIfTrue="1" operator="equal">
      <formula>3</formula>
    </cfRule>
    <cfRule type="cellIs" dxfId="0" priority="3" stopIfTrue="1" operator="equal">
      <formula>4</formula>
    </cfRule>
  </conditionalFormatting>
  <pageMargins left="0.75" right="0.75" top="1" bottom="1" header="0" footer="0"/>
  <pageSetup paperSize="9" orientation="portrait" horizontalDpi="200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31"/>
  <sheetViews>
    <sheetView topLeftCell="A3" workbookViewId="0">
      <selection activeCell="A18" sqref="A18"/>
    </sheetView>
  </sheetViews>
  <sheetFormatPr baseColWidth="10" defaultRowHeight="12.75" x14ac:dyDescent="0.2"/>
  <sheetData>
    <row r="2" spans="1:1" x14ac:dyDescent="0.2">
      <c r="A2" t="s">
        <v>40</v>
      </c>
    </row>
    <row r="3" spans="1:1" x14ac:dyDescent="0.2">
      <c r="A3" t="s">
        <v>14</v>
      </c>
    </row>
    <row r="4" spans="1:1" x14ac:dyDescent="0.2">
      <c r="A4" t="s">
        <v>15</v>
      </c>
    </row>
    <row r="5" spans="1:1" x14ac:dyDescent="0.2">
      <c r="A5" t="s">
        <v>16</v>
      </c>
    </row>
    <row r="8" spans="1:1" x14ac:dyDescent="0.2">
      <c r="A8" t="s">
        <v>41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6" spans="1:1" ht="15.75" x14ac:dyDescent="0.3">
      <c r="A16" s="3" t="s">
        <v>84</v>
      </c>
    </row>
    <row r="17" spans="1:1" ht="15.75" x14ac:dyDescent="0.3">
      <c r="A17" s="3" t="s">
        <v>85</v>
      </c>
    </row>
    <row r="21" spans="1:1" x14ac:dyDescent="0.2">
      <c r="A21" t="s">
        <v>55</v>
      </c>
    </row>
    <row r="22" spans="1:1" x14ac:dyDescent="0.2">
      <c r="A22" t="s">
        <v>56</v>
      </c>
    </row>
    <row r="25" spans="1:1" ht="15" x14ac:dyDescent="0.2">
      <c r="A25" s="9" t="s">
        <v>0</v>
      </c>
    </row>
    <row r="26" spans="1:1" ht="15" x14ac:dyDescent="0.2">
      <c r="A26" s="9" t="s">
        <v>1</v>
      </c>
    </row>
    <row r="27" spans="1:1" ht="15" x14ac:dyDescent="0.2">
      <c r="A27" s="9" t="s">
        <v>2</v>
      </c>
    </row>
    <row r="30" spans="1:1" ht="15" x14ac:dyDescent="0.2">
      <c r="A30" s="9" t="s">
        <v>58</v>
      </c>
    </row>
    <row r="31" spans="1:1" ht="15" x14ac:dyDescent="0.2">
      <c r="A31" s="9" t="s">
        <v>59</v>
      </c>
    </row>
  </sheetData>
  <sheetProtection selectLockedCells="1" selectUnlockedCells="1"/>
  <phoneticPr fontId="1" type="noConversion"/>
  <pageMargins left="0.75" right="0.75" top="1" bottom="1" header="0" footer="0"/>
  <pageSetup paperSize="9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8</vt:i4>
      </vt:variant>
    </vt:vector>
  </HeadingPairs>
  <TitlesOfParts>
    <vt:vector size="11" baseType="lpstr">
      <vt:lpstr>COMPROBACIÓN IPE</vt:lpstr>
      <vt:lpstr>Características Perfiles</vt:lpstr>
      <vt:lpstr>DATOS</vt:lpstr>
      <vt:lpstr>'COMPROBACIÓN IPE'!Área_de_impresión</vt:lpstr>
      <vt:lpstr>axil</vt:lpstr>
      <vt:lpstr>coacciones</vt:lpstr>
      <vt:lpstr>flecha</vt:lpstr>
      <vt:lpstr>materiales</vt:lpstr>
      <vt:lpstr>NMV</vt:lpstr>
      <vt:lpstr>nombreperfiles</vt:lpstr>
      <vt:lpstr>SINO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acalle</dc:creator>
  <cp:lastModifiedBy>ALEJANDRO CALLE GARCIA</cp:lastModifiedBy>
  <cp:lastPrinted>2006-11-24T07:20:24Z</cp:lastPrinted>
  <dcterms:created xsi:type="dcterms:W3CDTF">2006-11-21T17:35:21Z</dcterms:created>
  <dcterms:modified xsi:type="dcterms:W3CDTF">2025-11-14T11:04:39Z</dcterms:modified>
</cp:coreProperties>
</file>