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00_Documentos\000 ESTRUCTURAS\00 HOJAS DE CALCULO\MADERA\"/>
    </mc:Choice>
  </mc:AlternateContent>
  <xr:revisionPtr revIDLastSave="0" documentId="13_ncr:1_{0FC93B21-BCF6-4602-AFB5-15396C1CBF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ROBACIÓN" sheetId="2" r:id="rId1"/>
    <sheet name="DATOS MATERIAL" sheetId="1" r:id="rId2"/>
  </sheets>
  <definedNames>
    <definedName name="_xlnm.Print_Area" localSheetId="0">COMPROBACIÓN!$B$2:$K$113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7" i="2" l="1"/>
  <c r="E48" i="2" s="1"/>
  <c r="E92" i="2" l="1"/>
  <c r="F29" i="2"/>
  <c r="E29" i="2"/>
  <c r="D28" i="2"/>
  <c r="C28" i="2"/>
  <c r="M19" i="2"/>
  <c r="M20" i="2"/>
  <c r="M21" i="2"/>
  <c r="M22" i="2"/>
  <c r="M23" i="2"/>
  <c r="H53" i="2" l="1"/>
  <c r="F30" i="2" l="1"/>
  <c r="E30" i="2"/>
  <c r="D30" i="2"/>
  <c r="J89" i="2" l="1"/>
  <c r="J88" i="2"/>
  <c r="C92" i="2"/>
  <c r="C91" i="2"/>
  <c r="C90" i="2"/>
  <c r="C89" i="2"/>
  <c r="C83" i="2"/>
  <c r="G101" i="2"/>
  <c r="C101" i="2"/>
  <c r="C96" i="2"/>
  <c r="C94" i="2"/>
  <c r="C93" i="2"/>
  <c r="B83" i="2"/>
  <c r="D83" i="2" s="1"/>
  <c r="G63" i="2"/>
  <c r="C63" i="2"/>
  <c r="G71" i="2"/>
  <c r="F26" i="2"/>
  <c r="E26" i="2"/>
  <c r="D26" i="2"/>
  <c r="C75" i="2"/>
  <c r="C71" i="2"/>
  <c r="G81" i="2"/>
  <c r="G80" i="2"/>
  <c r="G79" i="2"/>
  <c r="I79" i="2" s="1"/>
  <c r="G78" i="2"/>
  <c r="G77" i="2"/>
  <c r="G76" i="2"/>
  <c r="G75" i="2"/>
  <c r="G74" i="2"/>
  <c r="G73" i="2"/>
  <c r="G72" i="2"/>
  <c r="I77" i="2" l="1"/>
  <c r="I71" i="2"/>
  <c r="I72" i="2"/>
  <c r="I74" i="2"/>
  <c r="I76" i="2"/>
  <c r="I78" i="2"/>
  <c r="I80" i="2"/>
  <c r="D84" i="2"/>
  <c r="I73" i="2"/>
  <c r="I75" i="2"/>
  <c r="D24" i="2" l="1"/>
  <c r="O24" i="2" s="1"/>
  <c r="S7" i="2" l="1"/>
  <c r="S6" i="2"/>
  <c r="R7" i="2"/>
  <c r="R6" i="2"/>
  <c r="E14" i="2"/>
  <c r="F28" i="2" l="1"/>
  <c r="F27" i="2"/>
  <c r="E28" i="2"/>
  <c r="E27" i="2"/>
  <c r="D29" i="2"/>
  <c r="D27" i="2"/>
  <c r="E25" i="2" l="1"/>
  <c r="D25" i="2"/>
  <c r="D31" i="2" s="1"/>
  <c r="E13" i="2" l="1"/>
  <c r="E10" i="2" l="1"/>
  <c r="E6" i="2"/>
  <c r="D38" i="2" l="1"/>
  <c r="D39" i="2"/>
  <c r="E12" i="2"/>
  <c r="E8" i="2"/>
  <c r="E9" i="2"/>
  <c r="E4" i="2"/>
  <c r="E5" i="2"/>
  <c r="E7" i="2" l="1"/>
  <c r="C64" i="2" s="1"/>
  <c r="E11" i="2"/>
  <c r="G64" i="2" s="1"/>
  <c r="G15" i="2"/>
  <c r="G14" i="2"/>
  <c r="N14" i="2" s="1"/>
  <c r="G13" i="2"/>
  <c r="G12" i="2"/>
  <c r="G11" i="2"/>
  <c r="G10" i="2"/>
  <c r="G9" i="2"/>
  <c r="G8" i="2"/>
  <c r="G7" i="2"/>
  <c r="G6" i="2"/>
  <c r="G5" i="2"/>
  <c r="G4" i="2"/>
  <c r="F25" i="2"/>
  <c r="F31" i="2" s="1"/>
  <c r="F24" i="2"/>
  <c r="Q24" i="2" s="1"/>
  <c r="E24" i="2"/>
  <c r="P24" i="2" s="1"/>
  <c r="C24" i="2" l="1"/>
  <c r="C26" i="2"/>
  <c r="C30" i="2"/>
  <c r="C29" i="2"/>
  <c r="N24" i="2"/>
  <c r="C25" i="2"/>
  <c r="H36" i="2" s="1"/>
  <c r="C27" i="2"/>
  <c r="E50" i="2"/>
  <c r="E51" i="2" s="1"/>
  <c r="G51" i="2" s="1"/>
  <c r="C66" i="2"/>
  <c r="C67" i="2" s="1"/>
  <c r="G66" i="2"/>
  <c r="C14" i="2"/>
  <c r="C55" i="2" l="1"/>
  <c r="E55" i="2"/>
  <c r="D55" i="2"/>
  <c r="G36" i="2"/>
  <c r="F55" i="2"/>
  <c r="I36" i="2"/>
  <c r="J36" i="2"/>
  <c r="E34" i="2"/>
  <c r="I34" i="2" s="1"/>
  <c r="G67" i="2"/>
  <c r="M4" i="2"/>
  <c r="N4" i="2" s="1"/>
  <c r="D53" i="2" s="1"/>
  <c r="C41" i="2" l="1"/>
  <c r="C86" i="2" s="1"/>
  <c r="E56" i="2"/>
  <c r="C40" i="2"/>
  <c r="C85" i="2" s="1"/>
  <c r="H34" i="2"/>
  <c r="H35" i="2" s="1"/>
  <c r="J34" i="2"/>
  <c r="J35" i="2" s="1"/>
  <c r="G34" i="2"/>
  <c r="E35" i="2"/>
  <c r="G35" i="2"/>
  <c r="C56" i="2"/>
  <c r="D56" i="2"/>
  <c r="D57" i="2" s="1"/>
  <c r="D58" i="2" s="1"/>
  <c r="C107" i="2"/>
  <c r="G107" i="2"/>
  <c r="K19" i="2"/>
  <c r="D49" i="2"/>
  <c r="C12" i="2"/>
  <c r="G69" i="2"/>
  <c r="G68" i="2" s="1"/>
  <c r="G65" i="2" s="1"/>
  <c r="I35" i="2"/>
  <c r="C8" i="2"/>
  <c r="C69" i="2"/>
  <c r="C68" i="2" s="1"/>
  <c r="K23" i="2"/>
  <c r="K21" i="2"/>
  <c r="K20" i="2"/>
  <c r="K22" i="2"/>
  <c r="C9" i="2"/>
  <c r="C31" i="2" l="1"/>
  <c r="C43" i="2"/>
  <c r="C88" i="2" s="1"/>
  <c r="C42" i="2"/>
  <c r="C87" i="2" s="1"/>
  <c r="D94" i="2"/>
  <c r="C65" i="2"/>
  <c r="C79" i="2"/>
  <c r="C78" i="2" s="1"/>
  <c r="C77" i="2" s="1"/>
  <c r="E31" i="2"/>
  <c r="E57" i="2"/>
  <c r="E58" i="2" s="1"/>
  <c r="F56" i="2"/>
  <c r="C57" i="2" l="1"/>
  <c r="F57" i="2"/>
  <c r="F58" i="2" s="1"/>
  <c r="C73" i="2"/>
  <c r="C72" i="2"/>
  <c r="E93" i="2" s="1"/>
  <c r="C32" i="2"/>
  <c r="I4" i="2" s="1"/>
  <c r="G50" i="2" s="1"/>
  <c r="E81" i="2" l="1"/>
  <c r="J87" i="2"/>
  <c r="K87" i="2" s="1"/>
  <c r="E91" i="2"/>
  <c r="E90" i="2"/>
  <c r="E75" i="2"/>
  <c r="E87" i="2" s="1"/>
  <c r="E73" i="2"/>
  <c r="C110" i="2" s="1"/>
  <c r="E71" i="2"/>
  <c r="E80" i="2"/>
  <c r="E72" i="2"/>
  <c r="E79" i="2"/>
  <c r="E88" i="2" s="1"/>
  <c r="E77" i="2"/>
  <c r="E76" i="2"/>
  <c r="E86" i="2" s="1"/>
  <c r="I9" i="2"/>
  <c r="I6" i="2"/>
  <c r="I8" i="2"/>
  <c r="E46" i="2" s="1"/>
  <c r="I5" i="2"/>
  <c r="I7" i="2"/>
  <c r="E42" i="2" l="1"/>
  <c r="E43" i="2"/>
  <c r="E89" i="2"/>
  <c r="F89" i="2" s="1"/>
  <c r="E95" i="2"/>
  <c r="E96" i="2" s="1"/>
  <c r="G96" i="2" s="1"/>
  <c r="G95" i="2" s="1"/>
  <c r="E85" i="2"/>
  <c r="J83" i="2" s="1"/>
  <c r="K83" i="2" s="1"/>
  <c r="E44" i="2"/>
  <c r="F44" i="2" s="1"/>
  <c r="E39" i="2"/>
  <c r="F39" i="2" s="1"/>
  <c r="E38" i="2"/>
  <c r="F38" i="2" s="1"/>
  <c r="E45" i="2"/>
  <c r="F45" i="2" s="1"/>
  <c r="G86" i="2"/>
  <c r="F86" i="2"/>
  <c r="J86" i="2"/>
  <c r="K86" i="2" s="1"/>
  <c r="G89" i="2"/>
  <c r="G91" i="2"/>
  <c r="F91" i="2"/>
  <c r="F90" i="2"/>
  <c r="G90" i="2"/>
  <c r="G87" i="2"/>
  <c r="F87" i="2"/>
  <c r="E78" i="2"/>
  <c r="E74" i="2"/>
  <c r="C102" i="2" s="1"/>
  <c r="G46" i="2"/>
  <c r="F46" i="2"/>
  <c r="J42" i="2"/>
  <c r="K42" i="2" s="1"/>
  <c r="E40" i="2"/>
  <c r="F40" i="2" s="1"/>
  <c r="E41" i="2"/>
  <c r="G44" i="2" l="1"/>
  <c r="G40" i="2"/>
  <c r="G39" i="2"/>
  <c r="G45" i="2"/>
  <c r="C104" i="2"/>
  <c r="C105" i="2" s="1"/>
  <c r="C106" i="2" s="1"/>
  <c r="C103" i="2" s="1"/>
  <c r="E83" i="2" s="1"/>
  <c r="G83" i="2" s="1"/>
  <c r="F85" i="2"/>
  <c r="J85" i="2"/>
  <c r="K85" i="2" s="1"/>
  <c r="G85" i="2"/>
  <c r="G102" i="2"/>
  <c r="G88" i="2"/>
  <c r="F88" i="2"/>
  <c r="J41" i="2"/>
  <c r="K41" i="2" s="1"/>
  <c r="C112" i="2"/>
  <c r="C113" i="2" s="1"/>
  <c r="G42" i="2"/>
  <c r="F42" i="2"/>
  <c r="G43" i="2"/>
  <c r="F43" i="2"/>
  <c r="G41" i="2"/>
  <c r="F41" i="2"/>
  <c r="J39" i="2"/>
  <c r="K39" i="2" s="1"/>
  <c r="J40" i="2"/>
  <c r="K40" i="2" s="1"/>
  <c r="J38" i="2"/>
  <c r="K38" i="2" s="1"/>
  <c r="G38" i="2"/>
  <c r="G104" i="2" l="1"/>
  <c r="G105" i="2" s="1"/>
  <c r="G106" i="2" s="1"/>
  <c r="G103" i="2" s="1"/>
  <c r="E84" i="2" s="1"/>
  <c r="G84" i="2" l="1"/>
  <c r="J84" i="2"/>
  <c r="K84" i="2" s="1"/>
</calcChain>
</file>

<file path=xl/sharedStrings.xml><?xml version="1.0" encoding="utf-8"?>
<sst xmlns="http://schemas.openxmlformats.org/spreadsheetml/2006/main" count="363" uniqueCount="243">
  <si>
    <r>
      <t>f</t>
    </r>
    <r>
      <rPr>
        <vertAlign val="subscript"/>
        <sz val="11"/>
        <color theme="1"/>
        <rFont val="Calibri"/>
        <family val="2"/>
        <scheme val="minor"/>
      </rPr>
      <t>m,g,k</t>
    </r>
  </si>
  <si>
    <r>
      <t>f</t>
    </r>
    <r>
      <rPr>
        <vertAlign val="subscript"/>
        <sz val="11"/>
        <color theme="1"/>
        <rFont val="Calibri"/>
        <family val="2"/>
        <scheme val="minor"/>
      </rPr>
      <t>t,0,g,k</t>
    </r>
  </si>
  <si>
    <r>
      <t>f</t>
    </r>
    <r>
      <rPr>
        <vertAlign val="subscript"/>
        <sz val="11"/>
        <color theme="1"/>
        <rFont val="Calibri"/>
        <family val="2"/>
        <scheme val="minor"/>
      </rPr>
      <t>t,90,g,k</t>
    </r>
  </si>
  <si>
    <r>
      <t>f</t>
    </r>
    <r>
      <rPr>
        <vertAlign val="subscript"/>
        <sz val="11"/>
        <color theme="1"/>
        <rFont val="Calibri"/>
        <family val="2"/>
        <scheme val="minor"/>
      </rPr>
      <t>c,0,g,k</t>
    </r>
  </si>
  <si>
    <r>
      <t>f</t>
    </r>
    <r>
      <rPr>
        <vertAlign val="subscript"/>
        <sz val="11"/>
        <color theme="1"/>
        <rFont val="Calibri"/>
        <family val="2"/>
        <scheme val="minor"/>
      </rPr>
      <t>c,90,g,k</t>
    </r>
  </si>
  <si>
    <r>
      <t>f</t>
    </r>
    <r>
      <rPr>
        <vertAlign val="subscript"/>
        <sz val="11"/>
        <color theme="1"/>
        <rFont val="Calibri"/>
        <family val="2"/>
        <scheme val="minor"/>
      </rPr>
      <t>v,g,k</t>
    </r>
  </si>
  <si>
    <r>
      <t>E</t>
    </r>
    <r>
      <rPr>
        <vertAlign val="subscript"/>
        <sz val="11"/>
        <color theme="1"/>
        <rFont val="Calibri"/>
        <family val="2"/>
        <scheme val="minor"/>
      </rPr>
      <t>0,g,medio</t>
    </r>
  </si>
  <si>
    <r>
      <t>E</t>
    </r>
    <r>
      <rPr>
        <vertAlign val="subscript"/>
        <sz val="11"/>
        <color theme="1"/>
        <rFont val="Calibri"/>
        <family val="2"/>
        <scheme val="minor"/>
      </rPr>
      <t>0,g,k</t>
    </r>
  </si>
  <si>
    <r>
      <t>G</t>
    </r>
    <r>
      <rPr>
        <vertAlign val="subscript"/>
        <sz val="11"/>
        <color theme="1"/>
        <rFont val="Calibri"/>
        <family val="2"/>
        <scheme val="minor"/>
      </rPr>
      <t>g,medio</t>
    </r>
  </si>
  <si>
    <r>
      <rPr>
        <sz val="11"/>
        <color theme="1"/>
        <rFont val="Calibri"/>
        <family val="2"/>
      </rPr>
      <t>ρ</t>
    </r>
    <r>
      <rPr>
        <vertAlign val="subscript"/>
        <sz val="11"/>
        <color theme="1"/>
        <rFont val="Calibri"/>
        <family val="2"/>
        <scheme val="minor"/>
      </rPr>
      <t>g,k</t>
    </r>
  </si>
  <si>
    <r>
      <t>E</t>
    </r>
    <r>
      <rPr>
        <vertAlign val="subscript"/>
        <sz val="11"/>
        <color theme="1"/>
        <rFont val="Calibri"/>
        <family val="2"/>
        <scheme val="minor"/>
      </rPr>
      <t>90,g,medio</t>
    </r>
  </si>
  <si>
    <r>
      <t>N/mm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</si>
  <si>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kg/m</t>
    </r>
    <r>
      <rPr>
        <vertAlign val="superscript"/>
        <sz val="11"/>
        <color theme="1"/>
        <rFont val="Calibri"/>
        <family val="2"/>
        <scheme val="minor"/>
      </rPr>
      <t>3</t>
    </r>
  </si>
  <si>
    <t>GL24h</t>
  </si>
  <si>
    <t>GL28h</t>
  </si>
  <si>
    <t>GL32h</t>
  </si>
  <si>
    <t>GL36h</t>
  </si>
  <si>
    <t>GL24c</t>
  </si>
  <si>
    <t>GL28c</t>
  </si>
  <si>
    <t>GL32c</t>
  </si>
  <si>
    <t>GL36c</t>
  </si>
  <si>
    <r>
      <t>f</t>
    </r>
    <r>
      <rPr>
        <vertAlign val="subscript"/>
        <sz val="11"/>
        <color theme="1"/>
        <rFont val="Calibri"/>
        <family val="2"/>
        <scheme val="minor"/>
      </rPr>
      <t>m,k</t>
    </r>
  </si>
  <si>
    <r>
      <t>f</t>
    </r>
    <r>
      <rPr>
        <vertAlign val="subscript"/>
        <sz val="11"/>
        <color theme="1"/>
        <rFont val="Calibri"/>
        <family val="2"/>
        <scheme val="minor"/>
      </rPr>
      <t>t,0,k</t>
    </r>
  </si>
  <si>
    <r>
      <t>f</t>
    </r>
    <r>
      <rPr>
        <vertAlign val="subscript"/>
        <sz val="11"/>
        <color theme="1"/>
        <rFont val="Calibri"/>
        <family val="2"/>
        <scheme val="minor"/>
      </rPr>
      <t>t,90,k</t>
    </r>
  </si>
  <si>
    <r>
      <t>f</t>
    </r>
    <r>
      <rPr>
        <vertAlign val="subscript"/>
        <sz val="11"/>
        <color theme="1"/>
        <rFont val="Calibri"/>
        <family val="2"/>
        <scheme val="minor"/>
      </rPr>
      <t>c,0,k</t>
    </r>
  </si>
  <si>
    <r>
      <t>f</t>
    </r>
    <r>
      <rPr>
        <vertAlign val="subscript"/>
        <sz val="11"/>
        <color theme="1"/>
        <rFont val="Calibri"/>
        <family val="2"/>
        <scheme val="minor"/>
      </rPr>
      <t>c,90,k</t>
    </r>
  </si>
  <si>
    <r>
      <t>E</t>
    </r>
    <r>
      <rPr>
        <vertAlign val="subscript"/>
        <sz val="11"/>
        <color theme="1"/>
        <rFont val="Calibri"/>
        <family val="2"/>
        <scheme val="minor"/>
      </rPr>
      <t>0,medio</t>
    </r>
  </si>
  <si>
    <r>
      <t>E</t>
    </r>
    <r>
      <rPr>
        <vertAlign val="subscript"/>
        <sz val="11"/>
        <color theme="1"/>
        <rFont val="Calibri"/>
        <family val="2"/>
        <scheme val="minor"/>
      </rPr>
      <t>0,k</t>
    </r>
  </si>
  <si>
    <r>
      <t>E</t>
    </r>
    <r>
      <rPr>
        <vertAlign val="subscript"/>
        <sz val="11"/>
        <color theme="1"/>
        <rFont val="Calibri"/>
        <family val="2"/>
        <scheme val="minor"/>
      </rPr>
      <t>90,medio</t>
    </r>
  </si>
  <si>
    <r>
      <t>G</t>
    </r>
    <r>
      <rPr>
        <vertAlign val="subscript"/>
        <sz val="11"/>
        <color theme="1"/>
        <rFont val="Calibri"/>
        <family val="2"/>
        <scheme val="minor"/>
      </rPr>
      <t>medio</t>
    </r>
  </si>
  <si>
    <r>
      <rPr>
        <sz val="11"/>
        <color theme="1"/>
        <rFont val="Calibri"/>
        <family val="2"/>
      </rPr>
      <t>ρ</t>
    </r>
    <r>
      <rPr>
        <vertAlign val="subscript"/>
        <sz val="11"/>
        <color theme="1"/>
        <rFont val="Calibri"/>
        <family val="2"/>
        <scheme val="minor"/>
      </rPr>
      <t>k</t>
    </r>
  </si>
  <si>
    <r>
      <rPr>
        <sz val="11"/>
        <color theme="1"/>
        <rFont val="Calibri"/>
        <family val="2"/>
      </rPr>
      <t>ρ</t>
    </r>
    <r>
      <rPr>
        <vertAlign val="subscript"/>
        <sz val="11"/>
        <color theme="1"/>
        <rFont val="Calibri"/>
        <family val="2"/>
        <scheme val="minor"/>
      </rPr>
      <t>medio</t>
    </r>
  </si>
  <si>
    <t>C14</t>
  </si>
  <si>
    <t>C16</t>
  </si>
  <si>
    <t>C18</t>
  </si>
  <si>
    <t>C20</t>
  </si>
  <si>
    <t>C22</t>
  </si>
  <si>
    <t>C24</t>
  </si>
  <si>
    <t>C27</t>
  </si>
  <si>
    <t>C30</t>
  </si>
  <si>
    <t>C35</t>
  </si>
  <si>
    <t>C40</t>
  </si>
  <si>
    <t>C45</t>
  </si>
  <si>
    <t>C50</t>
  </si>
  <si>
    <t>D18</t>
  </si>
  <si>
    <t>D24</t>
  </si>
  <si>
    <t>D30</t>
  </si>
  <si>
    <t>D35</t>
  </si>
  <si>
    <t>D40</t>
  </si>
  <si>
    <t>D50</t>
  </si>
  <si>
    <t>D60</t>
  </si>
  <si>
    <t>D70</t>
  </si>
  <si>
    <t>CLASE RESISTENTE</t>
  </si>
  <si>
    <t>L zona traccionada (mm)</t>
  </si>
  <si>
    <t>CLASE DE SERVICIO</t>
  </si>
  <si>
    <t>PERMANENTE</t>
  </si>
  <si>
    <t>LARGA</t>
  </si>
  <si>
    <t>MEDIA</t>
  </si>
  <si>
    <t>CORTA</t>
  </si>
  <si>
    <t>INSTANTÁNEA</t>
  </si>
  <si>
    <t>γ</t>
  </si>
  <si>
    <t>kN/m</t>
  </si>
  <si>
    <t>VALOR CARACTERÍSTICO</t>
  </si>
  <si>
    <t>VALOR DE CÁLCULO</t>
  </si>
  <si>
    <t>PERMANENTE1</t>
  </si>
  <si>
    <t>PERMANENTE2</t>
  </si>
  <si>
    <t>PERMANENTE3</t>
  </si>
  <si>
    <t>LARGA1</t>
  </si>
  <si>
    <t>LARGA2</t>
  </si>
  <si>
    <t>LARGA3</t>
  </si>
  <si>
    <t>MEDIA1</t>
  </si>
  <si>
    <t>MEDIA2</t>
  </si>
  <si>
    <t>MEDIA3</t>
  </si>
  <si>
    <t>CORTA1</t>
  </si>
  <si>
    <t>CORTA2</t>
  </si>
  <si>
    <t>CORTA3</t>
  </si>
  <si>
    <t>INSTANTÁNEA1</t>
  </si>
  <si>
    <t>INSTANTÁNEA3</t>
  </si>
  <si>
    <t>INSTANTÁNEA2</t>
  </si>
  <si>
    <t>ASERRADA</t>
  </si>
  <si>
    <t>LAMINADA</t>
  </si>
  <si>
    <t>L (m)</t>
  </si>
  <si>
    <t>Ancho  b (mm)</t>
  </si>
  <si>
    <t>Canto h (mm)</t>
  </si>
  <si>
    <t>PANDEO EN Y</t>
  </si>
  <si>
    <t>PANDEO EN Z</t>
  </si>
  <si>
    <t>COACCIONES EN EXTREMOS</t>
  </si>
  <si>
    <t>ARTICULADO-ARTICULADO</t>
  </si>
  <si>
    <t>PANDEO LATERAL</t>
  </si>
  <si>
    <t>NO SE COMPRUEBA</t>
  </si>
  <si>
    <r>
      <t>M</t>
    </r>
    <r>
      <rPr>
        <vertAlign val="subscript"/>
        <sz val="12"/>
        <rFont val="Arial"/>
        <family val="2"/>
      </rPr>
      <t xml:space="preserve">y,Ed </t>
    </r>
    <r>
      <rPr>
        <sz val="12"/>
        <rFont val="Arial"/>
        <family val="2"/>
      </rPr>
      <t>(mkN)</t>
    </r>
  </si>
  <si>
    <r>
      <t>M</t>
    </r>
    <r>
      <rPr>
        <vertAlign val="subscript"/>
        <sz val="12"/>
        <rFont val="Arial"/>
        <family val="2"/>
      </rPr>
      <t>z,Ed</t>
    </r>
    <r>
      <rPr>
        <sz val="12"/>
        <rFont val="Arial"/>
        <family val="2"/>
      </rPr>
      <t xml:space="preserve"> (mkN)</t>
    </r>
  </si>
  <si>
    <r>
      <t>V</t>
    </r>
    <r>
      <rPr>
        <vertAlign val="subscript"/>
        <sz val="12"/>
        <rFont val="Arial"/>
        <family val="2"/>
      </rPr>
      <t>z,Ed</t>
    </r>
    <r>
      <rPr>
        <sz val="12"/>
        <rFont val="Arial"/>
        <family val="2"/>
      </rPr>
      <t xml:space="preserve"> (kN)</t>
    </r>
  </si>
  <si>
    <r>
      <t>V</t>
    </r>
    <r>
      <rPr>
        <vertAlign val="subscript"/>
        <sz val="12"/>
        <rFont val="Arial"/>
        <family val="2"/>
      </rPr>
      <t>y,Ed</t>
    </r>
    <r>
      <rPr>
        <sz val="12"/>
        <rFont val="Arial"/>
        <family val="2"/>
      </rPr>
      <t xml:space="preserve"> (kN)</t>
    </r>
  </si>
  <si>
    <r>
      <t>L</t>
    </r>
    <r>
      <rPr>
        <vertAlign val="subscript"/>
        <sz val="12"/>
        <rFont val="Arial"/>
        <family val="2"/>
      </rPr>
      <t>yk</t>
    </r>
    <r>
      <rPr>
        <sz val="12"/>
        <rFont val="Arial"/>
        <family val="2"/>
      </rPr>
      <t xml:space="preserve"> (m)</t>
    </r>
  </si>
  <si>
    <r>
      <t>L</t>
    </r>
    <r>
      <rPr>
        <vertAlign val="subscript"/>
        <sz val="12"/>
        <rFont val="Arial"/>
        <family val="2"/>
      </rPr>
      <t>k</t>
    </r>
    <r>
      <rPr>
        <sz val="12"/>
        <rFont val="Arial"/>
        <family val="2"/>
      </rPr>
      <t xml:space="preserve"> (m)</t>
    </r>
  </si>
  <si>
    <r>
      <t>λ</t>
    </r>
    <r>
      <rPr>
        <vertAlign val="subscript"/>
        <sz val="12"/>
        <rFont val="Arial"/>
        <family val="2"/>
      </rPr>
      <t>yk</t>
    </r>
  </si>
  <si>
    <r>
      <t>λ</t>
    </r>
    <r>
      <rPr>
        <vertAlign val="subscript"/>
        <sz val="12"/>
        <rFont val="Arial"/>
        <family val="2"/>
      </rPr>
      <t>zk</t>
    </r>
  </si>
  <si>
    <r>
      <t>χ</t>
    </r>
    <r>
      <rPr>
        <vertAlign val="subscript"/>
        <sz val="12"/>
        <rFont val="Arial"/>
        <family val="2"/>
      </rPr>
      <t>y</t>
    </r>
  </si>
  <si>
    <r>
      <t>χ</t>
    </r>
    <r>
      <rPr>
        <vertAlign val="subscript"/>
        <sz val="12"/>
        <rFont val="Arial"/>
        <family val="2"/>
      </rPr>
      <t>z</t>
    </r>
  </si>
  <si>
    <r>
      <t>λ</t>
    </r>
    <r>
      <rPr>
        <vertAlign val="subscript"/>
        <sz val="12"/>
        <rFont val="Arial"/>
        <family val="2"/>
      </rPr>
      <t>rel,y</t>
    </r>
  </si>
  <si>
    <r>
      <t>λ</t>
    </r>
    <r>
      <rPr>
        <vertAlign val="subscript"/>
        <sz val="12"/>
        <rFont val="Arial"/>
        <family val="2"/>
      </rPr>
      <t>rel,z</t>
    </r>
  </si>
  <si>
    <r>
      <t>k</t>
    </r>
    <r>
      <rPr>
        <vertAlign val="subscript"/>
        <sz val="12"/>
        <rFont val="Arial"/>
        <family val="2"/>
      </rPr>
      <t>y</t>
    </r>
  </si>
  <si>
    <r>
      <t>k</t>
    </r>
    <r>
      <rPr>
        <vertAlign val="subscript"/>
        <sz val="12"/>
        <rFont val="Arial"/>
        <family val="2"/>
      </rPr>
      <t>z</t>
    </r>
  </si>
  <si>
    <r>
      <t>A (mm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</si>
  <si>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 xml:space="preserve">m,k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</si>
  <si>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 xml:space="preserve">m,d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</si>
  <si>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W</t>
    </r>
    <r>
      <rPr>
        <vertAlign val="subscript"/>
        <sz val="12"/>
        <color theme="1"/>
        <rFont val="Arial"/>
        <family val="2"/>
      </rPr>
      <t>y</t>
    </r>
    <r>
      <rPr>
        <sz val="12"/>
        <color theme="1"/>
        <rFont val="Arial"/>
        <family val="2"/>
      </rPr>
      <t xml:space="preserve"> (mm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</si>
  <si>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 xml:space="preserve">t,0,k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</si>
  <si>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 xml:space="preserve">t,0,d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</si>
  <si>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I</t>
    </r>
    <r>
      <rPr>
        <vertAlign val="subscript"/>
        <sz val="12"/>
        <color theme="1"/>
        <rFont val="Arial"/>
        <family val="2"/>
      </rPr>
      <t>y</t>
    </r>
    <r>
      <rPr>
        <sz val="12"/>
        <color theme="1"/>
        <rFont val="Arial"/>
        <family val="2"/>
      </rPr>
      <t xml:space="preserve"> (mm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</si>
  <si>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 xml:space="preserve">t,90,k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</si>
  <si>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 xml:space="preserve">t,90,d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</si>
  <si>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i</t>
    </r>
    <r>
      <rPr>
        <vertAlign val="subscript"/>
        <sz val="12"/>
        <color theme="1"/>
        <rFont val="Arial"/>
        <family val="2"/>
      </rPr>
      <t>y</t>
    </r>
    <r>
      <rPr>
        <sz val="12"/>
        <color theme="1"/>
        <rFont val="Arial"/>
        <family val="2"/>
      </rPr>
      <t xml:space="preserve"> (mm)</t>
    </r>
  </si>
  <si>
    <r>
      <t>f</t>
    </r>
    <r>
      <rPr>
        <vertAlign val="subscript"/>
        <sz val="12"/>
        <color theme="1"/>
        <rFont val="Arial"/>
        <family val="2"/>
      </rPr>
      <t>c,0,k</t>
    </r>
    <r>
      <rPr>
        <sz val="12"/>
        <color theme="1"/>
        <rFont val="Arial"/>
        <family val="2"/>
      </rPr>
      <t xml:space="preserve"> 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</si>
  <si>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>c,0,d</t>
    </r>
    <r>
      <rPr>
        <sz val="12"/>
        <color theme="1"/>
        <rFont val="Arial"/>
        <family val="2"/>
      </rPr>
      <t xml:space="preserve"> 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</si>
  <si>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γ</t>
    </r>
    <r>
      <rPr>
        <vertAlign val="subscript"/>
        <sz val="12"/>
        <color theme="1"/>
        <rFont val="Arial"/>
        <family val="2"/>
      </rPr>
      <t>M</t>
    </r>
  </si>
  <si>
    <r>
      <t>b</t>
    </r>
    <r>
      <rPr>
        <vertAlign val="subscript"/>
        <sz val="12"/>
        <color theme="1"/>
        <rFont val="Arial"/>
        <family val="2"/>
      </rPr>
      <t>ef</t>
    </r>
    <r>
      <rPr>
        <sz val="12"/>
        <color theme="1"/>
        <rFont val="Arial"/>
        <family val="2"/>
      </rPr>
      <t xml:space="preserve"> (mm)</t>
    </r>
  </si>
  <si>
    <r>
      <t>f</t>
    </r>
    <r>
      <rPr>
        <vertAlign val="subscript"/>
        <sz val="12"/>
        <color theme="1"/>
        <rFont val="Arial"/>
        <family val="2"/>
      </rPr>
      <t xml:space="preserve">c,90,k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</si>
  <si>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 xml:space="preserve">c,90,d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</si>
  <si>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k</t>
    </r>
    <r>
      <rPr>
        <vertAlign val="subscript"/>
        <sz val="12"/>
        <color theme="1"/>
        <rFont val="Arial"/>
        <family val="2"/>
      </rPr>
      <t>h</t>
    </r>
  </si>
  <si>
    <r>
      <t>W</t>
    </r>
    <r>
      <rPr>
        <vertAlign val="subscript"/>
        <sz val="12"/>
        <color theme="1"/>
        <rFont val="Arial"/>
        <family val="2"/>
      </rPr>
      <t>z</t>
    </r>
    <r>
      <rPr>
        <sz val="12"/>
        <color theme="1"/>
        <rFont val="Arial"/>
        <family val="2"/>
      </rPr>
      <t xml:space="preserve"> (mm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</si>
  <si>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 xml:space="preserve">v,g,k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</si>
  <si>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f</t>
    </r>
    <r>
      <rPr>
        <vertAlign val="subscript"/>
        <sz val="12"/>
        <color theme="1"/>
        <rFont val="Arial"/>
        <family val="2"/>
      </rPr>
      <t>v,g,d</t>
    </r>
    <r>
      <rPr>
        <sz val="12"/>
        <color theme="1"/>
        <rFont val="Arial"/>
        <family val="2"/>
      </rPr>
      <t xml:space="preserve"> 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</si>
  <si>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CONSIDERAR k</t>
    </r>
    <r>
      <rPr>
        <vertAlign val="subscript"/>
        <sz val="12"/>
        <color theme="1"/>
        <rFont val="Arial"/>
        <family val="2"/>
      </rPr>
      <t>vol</t>
    </r>
  </si>
  <si>
    <r>
      <t>I</t>
    </r>
    <r>
      <rPr>
        <vertAlign val="subscript"/>
        <sz val="12"/>
        <color theme="1"/>
        <rFont val="Arial"/>
        <family val="2"/>
      </rPr>
      <t>z</t>
    </r>
    <r>
      <rPr>
        <sz val="12"/>
        <color theme="1"/>
        <rFont val="Arial"/>
        <family val="2"/>
      </rPr>
      <t xml:space="preserve"> (mm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>)</t>
    </r>
  </si>
  <si>
    <r>
      <t>E</t>
    </r>
    <r>
      <rPr>
        <vertAlign val="subscript"/>
        <sz val="12"/>
        <color theme="1"/>
        <rFont val="Arial"/>
        <family val="2"/>
      </rPr>
      <t xml:space="preserve">0,medio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</si>
  <si>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E</t>
    </r>
    <r>
      <rPr>
        <vertAlign val="subscript"/>
        <sz val="12"/>
        <color theme="1"/>
        <rFont val="Arial"/>
        <family val="2"/>
      </rPr>
      <t xml:space="preserve">0,k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</si>
  <si>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k</t>
    </r>
    <r>
      <rPr>
        <vertAlign val="subscript"/>
        <sz val="12"/>
        <color theme="1"/>
        <rFont val="Arial"/>
        <family val="2"/>
      </rPr>
      <t>vol</t>
    </r>
  </si>
  <si>
    <r>
      <t>h</t>
    </r>
    <r>
      <rPr>
        <vertAlign val="subscript"/>
        <sz val="12"/>
        <color theme="1"/>
        <rFont val="Arial"/>
        <family val="2"/>
      </rPr>
      <t>ef</t>
    </r>
    <r>
      <rPr>
        <sz val="12"/>
        <color theme="1"/>
        <rFont val="Arial"/>
        <family val="2"/>
      </rPr>
      <t xml:space="preserve"> (mm)</t>
    </r>
  </si>
  <si>
    <r>
      <t>E</t>
    </r>
    <r>
      <rPr>
        <vertAlign val="subscript"/>
        <sz val="12"/>
        <color theme="1"/>
        <rFont val="Arial"/>
        <family val="2"/>
      </rPr>
      <t xml:space="preserve">90,medio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</si>
  <si>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CONSIDERAR k</t>
    </r>
    <r>
      <rPr>
        <vertAlign val="subscript"/>
        <sz val="12"/>
        <color theme="1"/>
        <rFont val="Arial"/>
        <family val="2"/>
      </rPr>
      <t>sys</t>
    </r>
  </si>
  <si>
    <r>
      <t>G</t>
    </r>
    <r>
      <rPr>
        <vertAlign val="subscript"/>
        <sz val="12"/>
        <color theme="1"/>
        <rFont val="Arial"/>
        <family val="2"/>
      </rPr>
      <t>medio</t>
    </r>
    <r>
      <rPr>
        <sz val="12"/>
        <color theme="1"/>
        <rFont val="Arial"/>
        <family val="2"/>
      </rPr>
      <t xml:space="preserve"> 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</si>
  <si>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 xml:space="preserve"> k</t>
    </r>
    <r>
      <rPr>
        <vertAlign val="subscript"/>
        <sz val="12"/>
        <color theme="1"/>
        <rFont val="Arial"/>
        <family val="2"/>
      </rPr>
      <t>sys</t>
    </r>
  </si>
  <si>
    <r>
      <t>ρ</t>
    </r>
    <r>
      <rPr>
        <vertAlign val="subscript"/>
        <sz val="12"/>
        <color theme="1"/>
        <rFont val="Arial"/>
        <family val="2"/>
      </rPr>
      <t xml:space="preserve">k </t>
    </r>
    <r>
      <rPr>
        <sz val="12"/>
        <color theme="1"/>
        <rFont val="Arial"/>
        <family val="2"/>
      </rPr>
      <t>(kg/m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</t>
    </r>
  </si>
  <si>
    <r>
      <t>ρ</t>
    </r>
    <r>
      <rPr>
        <vertAlign val="subscript"/>
        <sz val="12"/>
        <color theme="1"/>
        <rFont val="Arial"/>
        <family val="2"/>
      </rPr>
      <t>medio</t>
    </r>
    <r>
      <rPr>
        <sz val="12"/>
        <color theme="1"/>
        <rFont val="Arial"/>
        <family val="2"/>
      </rPr>
      <t xml:space="preserve"> (kg/m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</t>
    </r>
  </si>
  <si>
    <r>
      <t>k</t>
    </r>
    <r>
      <rPr>
        <vertAlign val="subscript"/>
        <sz val="12"/>
        <color theme="1"/>
        <rFont val="Arial"/>
        <family val="2"/>
      </rPr>
      <t>mod</t>
    </r>
  </si>
  <si>
    <r>
      <t>k</t>
    </r>
    <r>
      <rPr>
        <vertAlign val="subscript"/>
        <sz val="12"/>
        <color theme="1"/>
        <rFont val="Arial"/>
        <family val="2"/>
      </rPr>
      <t>mod</t>
    </r>
    <r>
      <rPr>
        <sz val="12"/>
        <color theme="1"/>
        <rFont val="Arial"/>
        <family val="2"/>
      </rPr>
      <t xml:space="preserve"> de la carga</t>
    </r>
  </si>
  <si>
    <r>
      <t>M</t>
    </r>
    <r>
      <rPr>
        <vertAlign val="subscript"/>
        <sz val="12"/>
        <color theme="1"/>
        <rFont val="Arial"/>
        <family val="2"/>
      </rPr>
      <t xml:space="preserve">Rdy </t>
    </r>
    <r>
      <rPr>
        <sz val="12"/>
        <color theme="1"/>
        <rFont val="Arial"/>
        <family val="2"/>
      </rPr>
      <t>(mkN)</t>
    </r>
  </si>
  <si>
    <r>
      <t>M</t>
    </r>
    <r>
      <rPr>
        <vertAlign val="subscript"/>
        <sz val="12"/>
        <color theme="1"/>
        <rFont val="Arial"/>
        <family val="2"/>
      </rPr>
      <t xml:space="preserve">Rdz </t>
    </r>
    <r>
      <rPr>
        <sz val="12"/>
        <color theme="1"/>
        <rFont val="Arial"/>
        <family val="2"/>
      </rPr>
      <t>(mkN)</t>
    </r>
  </si>
  <si>
    <r>
      <t>V</t>
    </r>
    <r>
      <rPr>
        <vertAlign val="subscript"/>
        <sz val="12"/>
        <color theme="1"/>
        <rFont val="Arial"/>
        <family val="2"/>
      </rPr>
      <t>Rdz</t>
    </r>
    <r>
      <rPr>
        <sz val="12"/>
        <color theme="1"/>
        <rFont val="Arial"/>
        <family val="2"/>
      </rPr>
      <t xml:space="preserve"> (kN)</t>
    </r>
  </si>
  <si>
    <r>
      <t>V</t>
    </r>
    <r>
      <rPr>
        <vertAlign val="subscript"/>
        <sz val="12"/>
        <color theme="1"/>
        <rFont val="Arial"/>
        <family val="2"/>
      </rPr>
      <t>Rdy</t>
    </r>
    <r>
      <rPr>
        <sz val="12"/>
        <color theme="1"/>
        <rFont val="Arial"/>
        <family val="2"/>
      </rPr>
      <t xml:space="preserve"> (kN)</t>
    </r>
  </si>
  <si>
    <r>
      <t>σ</t>
    </r>
    <r>
      <rPr>
        <vertAlign val="subscript"/>
        <sz val="12"/>
        <rFont val="Arial"/>
        <family val="2"/>
      </rPr>
      <t>cry</t>
    </r>
    <r>
      <rPr>
        <sz val="12"/>
        <rFont val="Arial"/>
        <family val="2"/>
      </rPr>
      <t xml:space="preserve"> (N/mm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)</t>
    </r>
  </si>
  <si>
    <r>
      <t>σ</t>
    </r>
    <r>
      <rPr>
        <vertAlign val="subscript"/>
        <sz val="12"/>
        <rFont val="Arial"/>
        <family val="2"/>
      </rPr>
      <t>crz</t>
    </r>
    <r>
      <rPr>
        <sz val="12"/>
        <rFont val="Arial"/>
        <family val="2"/>
      </rPr>
      <t xml:space="preserve"> (N/mm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)</t>
    </r>
  </si>
  <si>
    <r>
      <t>β</t>
    </r>
    <r>
      <rPr>
        <vertAlign val="subscript"/>
        <sz val="12"/>
        <rFont val="Arial"/>
        <family val="2"/>
      </rPr>
      <t>c</t>
    </r>
  </si>
  <si>
    <r>
      <t>J</t>
    </r>
    <r>
      <rPr>
        <vertAlign val="subscript"/>
        <sz val="12"/>
        <color theme="1"/>
        <rFont val="Arial"/>
        <family val="2"/>
      </rPr>
      <t>tor</t>
    </r>
    <r>
      <rPr>
        <sz val="12"/>
        <color theme="1"/>
        <rFont val="Arial"/>
        <family val="2"/>
      </rPr>
      <t xml:space="preserve"> (mm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>)</t>
    </r>
  </si>
  <si>
    <r>
      <t>β</t>
    </r>
    <r>
      <rPr>
        <vertAlign val="subscript"/>
        <sz val="12"/>
        <rFont val="Arial"/>
        <family val="2"/>
      </rPr>
      <t>v</t>
    </r>
  </si>
  <si>
    <r>
      <t>λ</t>
    </r>
    <r>
      <rPr>
        <vertAlign val="subscript"/>
        <sz val="12"/>
        <rFont val="Arial"/>
        <family val="2"/>
      </rPr>
      <t>rel,m</t>
    </r>
  </si>
  <si>
    <r>
      <t>k</t>
    </r>
    <r>
      <rPr>
        <vertAlign val="subscript"/>
        <sz val="12"/>
        <rFont val="Arial"/>
        <family val="2"/>
      </rPr>
      <t>crit</t>
    </r>
  </si>
  <si>
    <t>CARGAS EN VALOR CARACTERÍSTICO</t>
  </si>
  <si>
    <r>
      <t>R</t>
    </r>
    <r>
      <rPr>
        <vertAlign val="sub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(kN)</t>
    </r>
  </si>
  <si>
    <r>
      <t>R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(kN)</t>
    </r>
  </si>
  <si>
    <r>
      <t>M</t>
    </r>
    <r>
      <rPr>
        <vertAlign val="subscript"/>
        <sz val="12"/>
        <color theme="1"/>
        <rFont val="Arial"/>
        <family val="2"/>
      </rPr>
      <t>i</t>
    </r>
    <r>
      <rPr>
        <sz val="12"/>
        <color theme="1"/>
        <rFont val="Arial"/>
        <family val="2"/>
      </rPr>
      <t xml:space="preserve"> (kN)</t>
    </r>
  </si>
  <si>
    <r>
      <t>M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(kN)</t>
    </r>
  </si>
  <si>
    <t>ESFUERZOS EN VALOR DE CÁLCULO</t>
  </si>
  <si>
    <r>
      <t>V</t>
    </r>
    <r>
      <rPr>
        <vertAlign val="subscript"/>
        <sz val="12"/>
        <color theme="1"/>
        <rFont val="Arial"/>
        <family val="2"/>
      </rPr>
      <t>d,centro de vano</t>
    </r>
  </si>
  <si>
    <r>
      <t>P</t>
    </r>
    <r>
      <rPr>
        <vertAlign val="sub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(kN)</t>
    </r>
  </si>
  <si>
    <r>
      <t>P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(kN)</t>
    </r>
  </si>
  <si>
    <r>
      <t>P</t>
    </r>
    <r>
      <rPr>
        <vertAlign val="sub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(kN)</t>
    </r>
  </si>
  <si>
    <r>
      <rPr>
        <sz val="12"/>
        <color theme="1"/>
        <rFont val="Arial"/>
        <family val="2"/>
      </rPr>
      <t>M</t>
    </r>
    <r>
      <rPr>
        <vertAlign val="subscript"/>
        <sz val="12"/>
        <color theme="1"/>
        <rFont val="Arial"/>
        <family val="2"/>
      </rPr>
      <t>d,centro de vano</t>
    </r>
  </si>
  <si>
    <t>FLECHA</t>
  </si>
  <si>
    <r>
      <t>ψ</t>
    </r>
    <r>
      <rPr>
        <vertAlign val="subscript"/>
        <sz val="12"/>
        <color theme="1"/>
        <rFont val="Calibri"/>
        <family val="2"/>
      </rPr>
      <t>0</t>
    </r>
  </si>
  <si>
    <r>
      <t>ψ</t>
    </r>
    <r>
      <rPr>
        <vertAlign val="subscript"/>
        <sz val="12"/>
        <color theme="1"/>
        <rFont val="Calibri"/>
        <family val="2"/>
      </rPr>
      <t>1</t>
    </r>
  </si>
  <si>
    <r>
      <t>ψ</t>
    </r>
    <r>
      <rPr>
        <vertAlign val="subscript"/>
        <sz val="12"/>
        <color theme="1"/>
        <rFont val="Calibri"/>
        <family val="2"/>
      </rPr>
      <t>2</t>
    </r>
  </si>
  <si>
    <r>
      <t>k</t>
    </r>
    <r>
      <rPr>
        <vertAlign val="subscript"/>
        <sz val="12"/>
        <color theme="1"/>
        <rFont val="Arial"/>
        <family val="2"/>
      </rPr>
      <t>mod</t>
    </r>
    <r>
      <rPr>
        <sz val="12"/>
        <color theme="1"/>
        <rFont val="Arial"/>
        <family val="2"/>
      </rPr>
      <t xml:space="preserve"> global</t>
    </r>
  </si>
  <si>
    <t>COMBINACIÓN CARACTERÍSTICA</t>
  </si>
  <si>
    <t>COMBINACIÓN CASI PERMANENTE</t>
  </si>
  <si>
    <r>
      <t>k</t>
    </r>
    <r>
      <rPr>
        <vertAlign val="subscript"/>
        <sz val="12"/>
        <color theme="1"/>
        <rFont val="Arial"/>
        <family val="2"/>
      </rPr>
      <t>def</t>
    </r>
  </si>
  <si>
    <t>CARACTERÍSTICA</t>
  </si>
  <si>
    <t>Inicial (mm)</t>
  </si>
  <si>
    <t>Diferida (mm)</t>
  </si>
  <si>
    <t>Total (mm)</t>
  </si>
  <si>
    <t>Relativa L/n</t>
  </si>
  <si>
    <r>
      <t xml:space="preserve"> k</t>
    </r>
    <r>
      <rPr>
        <vertAlign val="subscript"/>
        <sz val="12"/>
        <color theme="1"/>
        <rFont val="Arial"/>
        <family val="2"/>
      </rPr>
      <t>forma</t>
    </r>
  </si>
  <si>
    <r>
      <t>T</t>
    </r>
    <r>
      <rPr>
        <vertAlign val="subscript"/>
        <sz val="12"/>
        <rFont val="Arial"/>
        <family val="2"/>
      </rPr>
      <t>Ed</t>
    </r>
    <r>
      <rPr>
        <sz val="12"/>
        <rFont val="Arial"/>
        <family val="2"/>
      </rPr>
      <t xml:space="preserve"> (mkN)</t>
    </r>
  </si>
  <si>
    <r>
      <t>T</t>
    </r>
    <r>
      <rPr>
        <vertAlign val="subscript"/>
        <sz val="12"/>
        <rFont val="Arial"/>
        <family val="2"/>
      </rPr>
      <t>Rd</t>
    </r>
    <r>
      <rPr>
        <sz val="12"/>
        <rFont val="Arial"/>
        <family val="2"/>
      </rPr>
      <t xml:space="preserve"> (mkN)</t>
    </r>
  </si>
  <si>
    <r>
      <t>x M</t>
    </r>
    <r>
      <rPr>
        <vertAlign val="subscript"/>
        <sz val="12"/>
        <color theme="1"/>
        <rFont val="Arial"/>
        <family val="2"/>
      </rPr>
      <t>max</t>
    </r>
  </si>
  <si>
    <t>l (mm)</t>
  </si>
  <si>
    <r>
      <t>l</t>
    </r>
    <r>
      <rPr>
        <vertAlign val="sub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(mm)</t>
    </r>
  </si>
  <si>
    <r>
      <t>A</t>
    </r>
    <r>
      <rPr>
        <vertAlign val="subscript"/>
        <sz val="12"/>
        <color theme="1"/>
        <rFont val="Arial"/>
        <family val="2"/>
      </rPr>
      <t>ef</t>
    </r>
    <r>
      <rPr>
        <sz val="12"/>
        <color theme="1"/>
        <rFont val="Arial"/>
        <family val="2"/>
      </rPr>
      <t xml:space="preserve"> (mm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</si>
  <si>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l</t>
    </r>
    <r>
      <rPr>
        <vertAlign val="subscript"/>
        <sz val="12"/>
        <color theme="1"/>
        <rFont val="Arial"/>
        <family val="2"/>
      </rPr>
      <t>ef</t>
    </r>
    <r>
      <rPr>
        <sz val="12"/>
        <color theme="1"/>
        <rFont val="Arial"/>
        <family val="2"/>
      </rPr>
      <t xml:space="preserve"> (mm)</t>
    </r>
  </si>
  <si>
    <r>
      <t>k</t>
    </r>
    <r>
      <rPr>
        <vertAlign val="subscript"/>
        <sz val="12"/>
        <color theme="1"/>
        <rFont val="Arial"/>
        <family val="2"/>
      </rPr>
      <t>c,90</t>
    </r>
  </si>
  <si>
    <t>CASO GENERAL</t>
  </si>
  <si>
    <t>DURMIENTE</t>
  </si>
  <si>
    <t>SOBRE APOYOS</t>
  </si>
  <si>
    <t>COEF. SEG</t>
  </si>
  <si>
    <t>NEd-COMPRESIÓN (kN)</t>
  </si>
  <si>
    <t>COMPRESIÓN INCLINADA</t>
  </si>
  <si>
    <r>
      <rPr>
        <sz val="12"/>
        <color theme="1"/>
        <rFont val="Calibri"/>
        <family val="2"/>
      </rPr>
      <t>α</t>
    </r>
    <r>
      <rPr>
        <sz val="9.6"/>
        <color theme="1"/>
        <rFont val="Arial"/>
        <family val="2"/>
      </rPr>
      <t xml:space="preserve"> (º)</t>
    </r>
  </si>
  <si>
    <r>
      <t>N</t>
    </r>
    <r>
      <rPr>
        <vertAlign val="subscript"/>
        <sz val="12"/>
        <color theme="1"/>
        <rFont val="Arial"/>
        <family val="2"/>
      </rPr>
      <t>Ed,</t>
    </r>
    <r>
      <rPr>
        <vertAlign val="subscript"/>
        <sz val="12"/>
        <color theme="1"/>
        <rFont val="Calibri"/>
        <family val="2"/>
      </rPr>
      <t>α</t>
    </r>
    <r>
      <rPr>
        <sz val="12"/>
        <color theme="1"/>
        <rFont val="Arial"/>
        <family val="2"/>
      </rPr>
      <t xml:space="preserve"> (kN). COMPRESIÓN</t>
    </r>
  </si>
  <si>
    <t>FLEXIÓN ESVIADA</t>
  </si>
  <si>
    <t>FLEXIÓN Y AXIL. SECCIÓN</t>
  </si>
  <si>
    <t>FLEXIÓN Y AXIL. PIEZA</t>
  </si>
  <si>
    <r>
      <t>DISTANCIA HASTA EL APOYO IZDO. a</t>
    </r>
    <r>
      <rPr>
        <vertAlign val="subscript"/>
        <sz val="12"/>
        <color theme="1"/>
        <rFont val="Arial"/>
        <family val="2"/>
      </rPr>
      <t>n</t>
    </r>
    <r>
      <rPr>
        <sz val="12"/>
        <color theme="1"/>
        <rFont val="Arial"/>
        <family val="2"/>
      </rPr>
      <t xml:space="preserve"> (m)</t>
    </r>
  </si>
  <si>
    <r>
      <t>V</t>
    </r>
    <r>
      <rPr>
        <vertAlign val="subscript"/>
        <sz val="12"/>
        <color theme="1"/>
        <rFont val="Arial"/>
        <family val="2"/>
      </rPr>
      <t xml:space="preserve">an </t>
    </r>
    <r>
      <rPr>
        <sz val="12"/>
        <color theme="1"/>
        <rFont val="Arial"/>
        <family val="2"/>
      </rPr>
      <t>(kN)</t>
    </r>
  </si>
  <si>
    <r>
      <t>V</t>
    </r>
    <r>
      <rPr>
        <vertAlign val="subscript"/>
        <sz val="12"/>
        <color theme="1"/>
        <rFont val="Arial"/>
        <family val="2"/>
      </rPr>
      <t xml:space="preserve">an,b </t>
    </r>
    <r>
      <rPr>
        <sz val="12"/>
        <color theme="1"/>
        <rFont val="Arial"/>
        <family val="2"/>
      </rPr>
      <t>(kN)</t>
    </r>
  </si>
  <si>
    <r>
      <t>M</t>
    </r>
    <r>
      <rPr>
        <vertAlign val="subscript"/>
        <sz val="12"/>
        <color theme="1"/>
        <rFont val="Arial"/>
        <family val="2"/>
      </rPr>
      <t>an (m</t>
    </r>
    <r>
      <rPr>
        <sz val="12"/>
        <color theme="1"/>
        <rFont val="Arial"/>
        <family val="2"/>
      </rPr>
      <t>kN)</t>
    </r>
  </si>
  <si>
    <t>INCLINACIÓN DE LA SECCIÓN (º)</t>
  </si>
  <si>
    <t>COMPROBACIONES DE SOLICITACIONES AISLADAS</t>
  </si>
  <si>
    <t>DATOS DE LA SECCIÓN Y DEL MATERIAL</t>
  </si>
  <si>
    <t>COMBINADAS</t>
  </si>
  <si>
    <t>TRACCIÓN PERP. Y CORTANTE</t>
  </si>
  <si>
    <t>LONGITUD DE PANDEO</t>
  </si>
  <si>
    <t>COMBINACIÓN</t>
  </si>
  <si>
    <r>
      <rPr>
        <sz val="12"/>
        <color theme="1"/>
        <rFont val="Calibri"/>
        <family val="2"/>
      </rPr>
      <t>β</t>
    </r>
    <r>
      <rPr>
        <sz val="6"/>
        <color theme="1"/>
        <rFont val="Arial"/>
        <family val="2"/>
      </rPr>
      <t>n</t>
    </r>
  </si>
  <si>
    <t>DATOS DE LA SECCIÓN Y DEL MATERIAL. SITUACIÓN DE INCENDIO</t>
  </si>
  <si>
    <r>
      <t>k</t>
    </r>
    <r>
      <rPr>
        <vertAlign val="subscript"/>
        <sz val="12"/>
        <color theme="1"/>
        <rFont val="Arial"/>
        <family val="2"/>
      </rPr>
      <t>fi</t>
    </r>
  </si>
  <si>
    <t>CARAS EXPUESTAS</t>
  </si>
  <si>
    <t>t (min)</t>
  </si>
  <si>
    <r>
      <t>d</t>
    </r>
    <r>
      <rPr>
        <vertAlign val="subscript"/>
        <sz val="12"/>
        <color theme="1"/>
        <rFont val="Arial"/>
        <family val="2"/>
      </rPr>
      <t>ef</t>
    </r>
    <r>
      <rPr>
        <sz val="12"/>
        <color theme="1"/>
        <rFont val="Arial"/>
        <family val="2"/>
      </rPr>
      <t xml:space="preserve"> (mm)</t>
    </r>
  </si>
  <si>
    <r>
      <t>d</t>
    </r>
    <r>
      <rPr>
        <vertAlign val="subscript"/>
        <sz val="12"/>
        <color theme="1"/>
        <rFont val="Arial"/>
        <family val="2"/>
      </rPr>
      <t>char</t>
    </r>
    <r>
      <rPr>
        <sz val="12"/>
        <color theme="1"/>
        <rFont val="Arial"/>
        <family val="2"/>
      </rPr>
      <t xml:space="preserve"> (mm)</t>
    </r>
  </si>
  <si>
    <r>
      <t>k</t>
    </r>
    <r>
      <rPr>
        <vertAlign val="subscript"/>
        <sz val="12"/>
        <color theme="1"/>
        <rFont val="Arial"/>
        <family val="2"/>
      </rPr>
      <t>0</t>
    </r>
  </si>
  <si>
    <r>
      <t>d</t>
    </r>
    <r>
      <rPr>
        <vertAlign val="subscript"/>
        <sz val="12"/>
        <color theme="1"/>
        <rFont val="Arial"/>
        <family val="2"/>
      </rPr>
      <t>0</t>
    </r>
    <r>
      <rPr>
        <sz val="12"/>
        <color theme="1"/>
        <rFont val="Arial"/>
        <family val="2"/>
      </rPr>
      <t xml:space="preserve"> (mm)</t>
    </r>
  </si>
  <si>
    <t>VALOR DE CÁLCULO. INCENDIO</t>
  </si>
  <si>
    <r>
      <t>L</t>
    </r>
    <r>
      <rPr>
        <vertAlign val="subscript"/>
        <sz val="12"/>
        <rFont val="Arial"/>
        <family val="2"/>
      </rPr>
      <t>zk</t>
    </r>
    <r>
      <rPr>
        <sz val="12"/>
        <rFont val="Arial"/>
        <family val="2"/>
      </rPr>
      <t xml:space="preserve"> (m)</t>
    </r>
  </si>
  <si>
    <t>COMPROBACIONES DE SOLICITACIONES AISLADAS. INCENDIO</t>
  </si>
  <si>
    <t>COMBINADAS. INCENDIO</t>
  </si>
  <si>
    <r>
      <rPr>
        <b/>
        <sz val="12"/>
        <color theme="1"/>
        <rFont val="Calibri"/>
        <family val="2"/>
      </rPr>
      <t>η</t>
    </r>
    <r>
      <rPr>
        <b/>
        <vertAlign val="subscript"/>
        <sz val="12"/>
        <color theme="1"/>
        <rFont val="Calibri"/>
        <family val="2"/>
      </rPr>
      <t>fi</t>
    </r>
  </si>
  <si>
    <r>
      <t>N</t>
    </r>
    <r>
      <rPr>
        <vertAlign val="subscript"/>
        <sz val="12"/>
        <color theme="1"/>
        <rFont val="Arial"/>
        <family val="2"/>
      </rPr>
      <t>T,Rd,90</t>
    </r>
    <r>
      <rPr>
        <sz val="12"/>
        <color theme="1"/>
        <rFont val="Arial"/>
        <family val="2"/>
      </rPr>
      <t xml:space="preserve"> (kN)</t>
    </r>
  </si>
  <si>
    <r>
      <t>N</t>
    </r>
    <r>
      <rPr>
        <vertAlign val="subscript"/>
        <sz val="12"/>
        <color theme="1"/>
        <rFont val="Arial"/>
        <family val="2"/>
      </rPr>
      <t>C,Rd,90</t>
    </r>
    <r>
      <rPr>
        <sz val="12"/>
        <color theme="1"/>
        <rFont val="Arial"/>
        <family val="2"/>
      </rPr>
      <t xml:space="preserve"> (kN)</t>
    </r>
  </si>
  <si>
    <r>
      <t>M</t>
    </r>
    <r>
      <rPr>
        <vertAlign val="subscript"/>
        <sz val="12"/>
        <rFont val="Arial"/>
        <family val="2"/>
      </rPr>
      <t>rdy</t>
    </r>
    <r>
      <rPr>
        <sz val="12"/>
        <rFont val="Arial"/>
        <family val="2"/>
      </rPr>
      <t xml:space="preserve"> (mkN)</t>
    </r>
  </si>
  <si>
    <t>INCENDIO</t>
  </si>
  <si>
    <r>
      <t>E</t>
    </r>
    <r>
      <rPr>
        <vertAlign val="subscript"/>
        <sz val="12"/>
        <color theme="1"/>
        <rFont val="Arial"/>
        <family val="2"/>
      </rPr>
      <t xml:space="preserve">0,medio,d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</si>
  <si>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E</t>
    </r>
    <r>
      <rPr>
        <vertAlign val="subscript"/>
        <sz val="12"/>
        <color theme="1"/>
        <rFont val="Arial"/>
        <family val="2"/>
      </rPr>
      <t xml:space="preserve">0,d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</si>
  <si>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E</t>
    </r>
    <r>
      <rPr>
        <vertAlign val="subscript"/>
        <sz val="12"/>
        <color theme="1"/>
        <rFont val="Arial"/>
        <family val="2"/>
      </rPr>
      <t xml:space="preserve">90,medio,d </t>
    </r>
    <r>
      <rPr>
        <sz val="12"/>
        <color theme="1"/>
        <rFont val="Arial"/>
        <family val="2"/>
      </rPr>
      <t>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</si>
  <si>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r>
      <t>G</t>
    </r>
    <r>
      <rPr>
        <vertAlign val="subscript"/>
        <sz val="12"/>
        <color theme="1"/>
        <rFont val="Arial"/>
        <family val="2"/>
      </rPr>
      <t>medio,d</t>
    </r>
    <r>
      <rPr>
        <sz val="12"/>
        <color theme="1"/>
        <rFont val="Arial"/>
        <family val="2"/>
      </rPr>
      <t xml:space="preserve"> (N/mm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</si>
  <si>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t>ACTIVA</t>
  </si>
  <si>
    <t>COMBINACIÓN PARA FLECHA ACTIVA</t>
  </si>
  <si>
    <t>% C. PERMANENTE PREVIO A LA PUESTA EN OBRA</t>
  </si>
  <si>
    <t>TIPO DE TABIQUES</t>
  </si>
  <si>
    <t>CONSIDERAR FLEXIÓN</t>
  </si>
  <si>
    <t>SÍ</t>
  </si>
  <si>
    <t>% CORTA DURACIÓN</t>
  </si>
  <si>
    <t>CORTA D.</t>
  </si>
  <si>
    <t>CASI PERM.</t>
  </si>
  <si>
    <r>
      <t>N</t>
    </r>
    <r>
      <rPr>
        <vertAlign val="subscript"/>
        <sz val="12"/>
        <color theme="1"/>
        <rFont val="Arial"/>
        <family val="2"/>
      </rPr>
      <t>Ed,90</t>
    </r>
    <r>
      <rPr>
        <sz val="12"/>
        <color theme="1"/>
        <rFont val="Arial"/>
        <family val="2"/>
      </rPr>
      <t xml:space="preserve"> (kN). TRACCIÓN PERPENDICULAR</t>
    </r>
  </si>
  <si>
    <r>
      <t>N</t>
    </r>
    <r>
      <rPr>
        <vertAlign val="subscript"/>
        <sz val="12"/>
        <color theme="1"/>
        <rFont val="Arial"/>
        <family val="2"/>
      </rPr>
      <t>Ed,90</t>
    </r>
    <r>
      <rPr>
        <sz val="12"/>
        <color theme="1"/>
        <rFont val="Arial"/>
        <family val="2"/>
      </rPr>
      <t xml:space="preserve"> (kN). COMPRESIÓN PERPENDICULAR</t>
    </r>
  </si>
  <si>
    <t>OTROS CASOS</t>
  </si>
  <si>
    <t>INCLUIR PESO PROPIO EN LOS CÁLCULOS</t>
  </si>
  <si>
    <t>PESO PROPIO (kN/m)</t>
  </si>
  <si>
    <t>AB</t>
  </si>
  <si>
    <t>COMBINACIÓN CORTA DURACIÓN</t>
  </si>
  <si>
    <t>DOS 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</si>
</sst>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  <font>
      <vertAlign val="superscript"/>
      <sz val="12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9.6"/>
      <color theme="1"/>
      <name val="Arial"/>
      <family val="2"/>
    </font>
    <font>
      <b/>
      <sz val="14"/>
      <color theme="1"/>
      <name val="Arial"/>
      <family val="2"/>
    </font>
    <font>
      <sz val="6"/>
      <color theme="1"/>
      <name val="Arial"/>
      <family val="2"/>
    </font>
    <font>
      <b/>
      <sz val="12"/>
      <color theme="1"/>
      <name val="Calibri"/>
      <family val="2"/>
    </font>
    <font>
      <b/>
      <vertAlign val="subscript"/>
      <sz val="12"/>
      <color theme="1"/>
      <name val="Calibri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164" fontId="0" fillId="0" borderId="0" xfId="0" applyNumberFormat="1"/>
    <xf numFmtId="0" fontId="8" fillId="0" borderId="1" xfId="0" applyFont="1" applyBorder="1"/>
    <xf numFmtId="0" fontId="8" fillId="0" borderId="0" xfId="0" applyFont="1"/>
    <xf numFmtId="2" fontId="8" fillId="0" borderId="0" xfId="0" applyNumberFormat="1" applyFont="1"/>
    <xf numFmtId="0" fontId="8" fillId="0" borderId="3" xfId="0" applyFont="1" applyBorder="1" applyAlignment="1">
      <alignment vertical="center"/>
    </xf>
    <xf numFmtId="0" fontId="8" fillId="2" borderId="3" xfId="0" applyFont="1" applyFill="1" applyBorder="1" applyAlignment="1" applyProtection="1">
      <alignment horizontal="right" vertical="center"/>
      <protection locked="0"/>
    </xf>
    <xf numFmtId="2" fontId="8" fillId="2" borderId="3" xfId="0" applyNumberFormat="1" applyFont="1" applyFill="1" applyBorder="1" applyAlignment="1" applyProtection="1">
      <alignment vertical="center"/>
      <protection locked="0"/>
    </xf>
    <xf numFmtId="0" fontId="8" fillId="2" borderId="3" xfId="0" applyFont="1" applyFill="1" applyBorder="1" applyAlignment="1" applyProtection="1">
      <alignment vertical="center"/>
      <protection locked="0"/>
    </xf>
    <xf numFmtId="0" fontId="8" fillId="2" borderId="11" xfId="0" applyFont="1" applyFill="1" applyBorder="1" applyAlignment="1" applyProtection="1">
      <alignment vertical="center"/>
      <protection locked="0"/>
    </xf>
    <xf numFmtId="164" fontId="8" fillId="2" borderId="3" xfId="0" applyNumberFormat="1" applyFont="1" applyFill="1" applyBorder="1" applyAlignment="1" applyProtection="1">
      <alignment vertical="center"/>
      <protection locked="0"/>
    </xf>
    <xf numFmtId="1" fontId="8" fillId="2" borderId="3" xfId="0" applyNumberFormat="1" applyFont="1" applyFill="1" applyBorder="1" applyAlignment="1" applyProtection="1">
      <alignment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164" fontId="8" fillId="0" borderId="0" xfId="0" applyNumberFormat="1" applyFont="1"/>
    <xf numFmtId="0" fontId="5" fillId="2" borderId="3" xfId="0" applyFont="1" applyFill="1" applyBorder="1" applyAlignment="1" applyProtection="1">
      <alignment vertical="center"/>
      <protection locked="0"/>
    </xf>
    <xf numFmtId="0" fontId="8" fillId="0" borderId="11" xfId="0" applyFont="1" applyBorder="1" applyAlignment="1">
      <alignment vertical="center"/>
    </xf>
    <xf numFmtId="165" fontId="8" fillId="0" borderId="3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2" fontId="8" fillId="0" borderId="11" xfId="0" applyNumberFormat="1" applyFont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2" fontId="8" fillId="0" borderId="21" xfId="0" applyNumberFormat="1" applyFont="1" applyBorder="1" applyAlignment="1">
      <alignment vertical="center"/>
    </xf>
    <xf numFmtId="164" fontId="8" fillId="0" borderId="20" xfId="0" applyNumberFormat="1" applyFont="1" applyBorder="1" applyAlignment="1">
      <alignment vertical="center"/>
    </xf>
    <xf numFmtId="164" fontId="8" fillId="0" borderId="24" xfId="0" applyNumberFormat="1" applyFont="1" applyBorder="1" applyAlignment="1">
      <alignment vertical="center"/>
    </xf>
    <xf numFmtId="164" fontId="8" fillId="0" borderId="23" xfId="0" applyNumberFormat="1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2" fontId="8" fillId="0" borderId="23" xfId="0" applyNumberFormat="1" applyFont="1" applyBorder="1" applyAlignment="1">
      <alignment vertical="center"/>
    </xf>
    <xf numFmtId="164" fontId="8" fillId="0" borderId="22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" fontId="8" fillId="0" borderId="3" xfId="0" applyNumberFormat="1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2" fontId="5" fillId="0" borderId="1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164" fontId="8" fillId="0" borderId="19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4" fontId="15" fillId="0" borderId="3" xfId="0" applyNumberFormat="1" applyFont="1" applyBorder="1" applyAlignment="1">
      <alignment vertical="center"/>
    </xf>
    <xf numFmtId="1" fontId="15" fillId="0" borderId="11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3" xfId="0" applyFont="1" applyBorder="1"/>
    <xf numFmtId="0" fontId="8" fillId="0" borderId="3" xfId="0" applyFont="1" applyBorder="1" applyAlignment="1" applyProtection="1">
      <alignment horizontal="right" vertical="center"/>
      <protection locked="0"/>
    </xf>
    <xf numFmtId="1" fontId="8" fillId="2" borderId="11" xfId="0" applyNumberFormat="1" applyFont="1" applyFill="1" applyBorder="1" applyAlignment="1" applyProtection="1">
      <alignment vertical="center"/>
      <protection locked="0"/>
    </xf>
    <xf numFmtId="0" fontId="8" fillId="0" borderId="28" xfId="0" applyFont="1" applyBorder="1"/>
    <xf numFmtId="0" fontId="10" fillId="0" borderId="29" xfId="0" applyFont="1" applyBorder="1" applyAlignment="1">
      <alignment vertical="center"/>
    </xf>
    <xf numFmtId="164" fontId="11" fillId="0" borderId="27" xfId="0" applyNumberFormat="1" applyFont="1" applyBorder="1" applyAlignment="1">
      <alignment vertical="center"/>
    </xf>
    <xf numFmtId="164" fontId="11" fillId="0" borderId="29" xfId="0" applyNumberFormat="1" applyFont="1" applyBorder="1" applyAlignment="1">
      <alignment vertical="center"/>
    </xf>
    <xf numFmtId="164" fontId="11" fillId="0" borderId="11" xfId="0" applyNumberFormat="1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1" fillId="2" borderId="7" xfId="0" applyFont="1" applyFill="1" applyBorder="1" applyAlignment="1" applyProtection="1">
      <alignment vertical="center"/>
      <protection locked="0"/>
    </xf>
    <xf numFmtId="0" fontId="8" fillId="0" borderId="11" xfId="0" applyFont="1" applyBorder="1"/>
    <xf numFmtId="165" fontId="8" fillId="0" borderId="11" xfId="0" applyNumberFormat="1" applyFont="1" applyBorder="1" applyAlignment="1">
      <alignment vertical="center"/>
    </xf>
    <xf numFmtId="2" fontId="8" fillId="0" borderId="26" xfId="0" applyNumberFormat="1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6" xfId="0" applyFont="1" applyBorder="1"/>
    <xf numFmtId="0" fontId="8" fillId="0" borderId="32" xfId="0" applyFont="1" applyBorder="1"/>
    <xf numFmtId="0" fontId="8" fillId="0" borderId="34" xfId="0" applyFont="1" applyBorder="1" applyAlignment="1">
      <alignment vertical="center"/>
    </xf>
    <xf numFmtId="0" fontId="8" fillId="0" borderId="26" xfId="0" applyFont="1" applyBorder="1"/>
    <xf numFmtId="0" fontId="5" fillId="0" borderId="3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vertical="center"/>
    </xf>
    <xf numFmtId="0" fontId="15" fillId="3" borderId="0" xfId="0" applyFont="1" applyFill="1" applyAlignment="1">
      <alignment vertical="center"/>
    </xf>
    <xf numFmtId="0" fontId="15" fillId="3" borderId="26" xfId="0" applyFont="1" applyFill="1" applyBorder="1" applyAlignment="1">
      <alignment vertical="center"/>
    </xf>
    <xf numFmtId="0" fontId="15" fillId="3" borderId="16" xfId="0" applyFont="1" applyFill="1" applyBorder="1" applyAlignment="1">
      <alignment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15" fillId="3" borderId="5" xfId="0" applyFont="1" applyFill="1" applyBorder="1" applyAlignment="1">
      <alignment vertical="center"/>
    </xf>
    <xf numFmtId="0" fontId="15" fillId="3" borderId="33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15" fillId="3" borderId="15" xfId="0" applyFont="1" applyFill="1" applyBorder="1" applyAlignment="1">
      <alignment vertical="center"/>
    </xf>
    <xf numFmtId="0" fontId="8" fillId="0" borderId="17" xfId="0" applyFont="1" applyBorder="1" applyAlignment="1">
      <alignment vertical="center"/>
    </xf>
    <xf numFmtId="1" fontId="15" fillId="0" borderId="13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8" fillId="0" borderId="36" xfId="0" applyFont="1" applyBorder="1" applyAlignment="1">
      <alignment vertical="center"/>
    </xf>
    <xf numFmtId="1" fontId="15" fillId="0" borderId="1" xfId="0" applyNumberFormat="1" applyFont="1" applyBorder="1" applyAlignment="1">
      <alignment horizontal="right" vertical="center"/>
    </xf>
    <xf numFmtId="0" fontId="8" fillId="2" borderId="3" xfId="0" applyFont="1" applyFill="1" applyBorder="1" applyProtection="1">
      <protection locked="0"/>
    </xf>
    <xf numFmtId="1" fontId="8" fillId="0" borderId="4" xfId="0" applyNumberFormat="1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1" fontId="8" fillId="0" borderId="0" xfId="0" applyNumberFormat="1" applyFont="1" applyAlignment="1">
      <alignment vertical="center"/>
    </xf>
    <xf numFmtId="0" fontId="15" fillId="0" borderId="6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9" fontId="8" fillId="2" borderId="3" xfId="0" applyNumberFormat="1" applyFont="1" applyFill="1" applyBorder="1" applyAlignment="1" applyProtection="1">
      <alignment vertical="center"/>
      <protection locked="0"/>
    </xf>
    <xf numFmtId="0" fontId="8" fillId="2" borderId="6" xfId="0" applyFont="1" applyFill="1" applyBorder="1" applyAlignment="1" applyProtection="1">
      <alignment vertical="center"/>
      <protection locked="0"/>
    </xf>
    <xf numFmtId="0" fontId="8" fillId="0" borderId="25" xfId="0" applyFont="1" applyBorder="1" applyAlignment="1">
      <alignment vertical="center"/>
    </xf>
    <xf numFmtId="0" fontId="8" fillId="2" borderId="7" xfId="0" applyFont="1" applyFill="1" applyBorder="1" applyAlignment="1" applyProtection="1">
      <alignment horizontal="right" vertical="center"/>
      <protection locked="0"/>
    </xf>
    <xf numFmtId="0" fontId="8" fillId="0" borderId="7" xfId="0" applyFont="1" applyBorder="1" applyAlignment="1">
      <alignment vertical="center"/>
    </xf>
    <xf numFmtId="165" fontId="8" fillId="0" borderId="7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5" fillId="3" borderId="14" xfId="0" applyFont="1" applyFill="1" applyBorder="1" applyAlignment="1">
      <alignment horizontal="left" vertical="center"/>
    </xf>
    <xf numFmtId="0" fontId="15" fillId="3" borderId="15" xfId="0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left" vertical="center"/>
    </xf>
    <xf numFmtId="0" fontId="15" fillId="3" borderId="30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35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left" vertical="center"/>
    </xf>
    <xf numFmtId="0" fontId="15" fillId="3" borderId="33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19" fillId="4" borderId="1" xfId="0" applyFont="1" applyFill="1" applyBorder="1" applyAlignment="1" applyProtection="1">
      <alignment horizontal="left"/>
      <protection locked="0"/>
    </xf>
    <xf numFmtId="0" fontId="19" fillId="4" borderId="31" xfId="0" applyFont="1" applyFill="1" applyBorder="1" applyAlignment="1" applyProtection="1">
      <alignment horizontal="left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122464</xdr:colOff>
      <xdr:row>33</xdr:row>
      <xdr:rowOff>13607</xdr:rowOff>
    </xdr:from>
    <xdr:to>
      <xdr:col>19</xdr:col>
      <xdr:colOff>606906</xdr:colOff>
      <xdr:row>55</xdr:row>
      <xdr:rowOff>29748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7A8644-7220-42E6-85DE-CC2910387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32821" y="6953250"/>
          <a:ext cx="7941157" cy="6901354"/>
        </a:xfrm>
        <a:prstGeom prst="rect">
          <a:avLst/>
        </a:prstGeom>
      </xdr:spPr>
    </xdr:pic>
    <xdr:clientData/>
  </xdr:twoCellAnchor>
  <xdr:twoCellAnchor editAs="oneCell">
    <xdr:from>
      <xdr:col>11</xdr:col>
      <xdr:colOff>332811</xdr:colOff>
      <xdr:row>24</xdr:row>
      <xdr:rowOff>15873</xdr:rowOff>
    </xdr:from>
    <xdr:to>
      <xdr:col>19</xdr:col>
      <xdr:colOff>184528</xdr:colOff>
      <xdr:row>32</xdr:row>
      <xdr:rowOff>13607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424A6C-476A-432E-BA0F-0253FCF24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620311" y="7458980"/>
          <a:ext cx="7308432" cy="2501448"/>
        </a:xfrm>
        <a:prstGeom prst="rect">
          <a:avLst/>
        </a:prstGeom>
      </xdr:spPr>
    </xdr:pic>
    <xdr:clientData/>
  </xdr:twoCellAnchor>
  <xdr:twoCellAnchor editAs="oneCell">
    <xdr:from>
      <xdr:col>11</xdr:col>
      <xdr:colOff>136072</xdr:colOff>
      <xdr:row>55</xdr:row>
      <xdr:rowOff>0</xdr:rowOff>
    </xdr:from>
    <xdr:to>
      <xdr:col>15</xdr:col>
      <xdr:colOff>238988</xdr:colOff>
      <xdr:row>60</xdr:row>
      <xdr:rowOff>54226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E36D95-BD3C-4D4E-BB0B-293F799C6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95715" y="13960929"/>
          <a:ext cx="3980952" cy="16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4"/>
  <sheetViews>
    <sheetView tabSelected="1" topLeftCell="A5" zoomScale="60" zoomScaleNormal="60" workbookViewId="0">
      <selection activeCell="C4" sqref="C4"/>
    </sheetView>
  </sheetViews>
  <sheetFormatPr baseColWidth="10" defaultColWidth="11.42578125" defaultRowHeight="20.100000000000001" customHeight="1" x14ac:dyDescent="0.2"/>
  <cols>
    <col min="1" max="1" width="11.42578125" style="3"/>
    <col min="2" max="2" width="50.28515625" style="3" customWidth="1"/>
    <col min="3" max="3" width="24.7109375" style="3" customWidth="1"/>
    <col min="4" max="4" width="16.7109375" style="3" customWidth="1"/>
    <col min="5" max="5" width="20.42578125" style="3" customWidth="1"/>
    <col min="6" max="6" width="18.5703125" style="3" customWidth="1"/>
    <col min="7" max="7" width="19.42578125" style="3" customWidth="1"/>
    <col min="8" max="8" width="18.28515625" style="3" customWidth="1"/>
    <col min="9" max="11" width="16.7109375" style="3" customWidth="1"/>
    <col min="12" max="12" width="12.7109375" style="3" customWidth="1"/>
    <col min="13" max="13" width="22.7109375" style="3" customWidth="1"/>
    <col min="14" max="16" width="11.42578125" style="3"/>
    <col min="17" max="17" width="19.42578125" style="3" bestFit="1" customWidth="1"/>
    <col min="18" max="21" width="11.42578125" style="3"/>
    <col min="22" max="22" width="15.5703125" style="3" customWidth="1"/>
    <col min="23" max="25" width="11.42578125" style="3"/>
    <col min="26" max="26" width="17.7109375" style="3" customWidth="1"/>
    <col min="27" max="16384" width="11.42578125" style="3"/>
  </cols>
  <sheetData>
    <row r="1" spans="1:19" ht="20.100000000000001" customHeight="1" thickBo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9" ht="24.95" customHeight="1" thickTop="1" thickBot="1" x14ac:dyDescent="0.35">
      <c r="A2" s="66"/>
      <c r="B2" s="128" t="s">
        <v>240</v>
      </c>
      <c r="C2" s="128"/>
      <c r="D2" s="128"/>
      <c r="E2" s="128"/>
      <c r="F2" s="128"/>
      <c r="G2" s="128"/>
      <c r="H2" s="128"/>
      <c r="I2" s="128"/>
      <c r="J2" s="128"/>
      <c r="K2" s="129"/>
    </row>
    <row r="3" spans="1:19" ht="24.95" customHeight="1" thickTop="1" x14ac:dyDescent="0.2">
      <c r="A3" s="66"/>
      <c r="B3" s="105" t="s">
        <v>199</v>
      </c>
      <c r="C3" s="106"/>
      <c r="D3" s="106"/>
      <c r="E3" s="106"/>
      <c r="F3" s="106"/>
      <c r="G3" s="106"/>
      <c r="H3" s="106"/>
      <c r="I3" s="106"/>
      <c r="J3" s="106"/>
      <c r="K3" s="107"/>
    </row>
    <row r="4" spans="1:19" ht="24.95" customHeight="1" x14ac:dyDescent="0.35">
      <c r="A4" s="66"/>
      <c r="B4" s="94" t="s">
        <v>52</v>
      </c>
      <c r="C4" s="95" t="s">
        <v>13</v>
      </c>
      <c r="D4" s="96" t="s">
        <v>104</v>
      </c>
      <c r="E4" s="97">
        <f>C5*C6</f>
        <v>20000</v>
      </c>
      <c r="F4" s="96" t="s">
        <v>105</v>
      </c>
      <c r="G4" s="98">
        <f>VLOOKUP($C$4,'DATOS MATERIAL'!$A$8:$M$35,2,FALSE)</f>
        <v>24</v>
      </c>
      <c r="H4" s="96" t="s">
        <v>106</v>
      </c>
      <c r="I4" s="98">
        <f>C14*C9*$C$32*G4/$C$8</f>
        <v>14.641985021165741</v>
      </c>
      <c r="J4" s="18"/>
      <c r="K4" s="55"/>
      <c r="M4" s="3" t="str">
        <f>LEFT(C4,1)</f>
        <v>G</v>
      </c>
      <c r="N4" s="3" t="str">
        <f>IF(M4="G","LAMINADA","ASERRADA")</f>
        <v>LAMINADA</v>
      </c>
      <c r="Q4" s="3" t="s">
        <v>181</v>
      </c>
    </row>
    <row r="5" spans="1:19" ht="24.95" customHeight="1" x14ac:dyDescent="0.2">
      <c r="A5" s="66"/>
      <c r="B5" s="59" t="s">
        <v>82</v>
      </c>
      <c r="C5" s="6">
        <v>100</v>
      </c>
      <c r="D5" s="5" t="s">
        <v>107</v>
      </c>
      <c r="E5" s="16">
        <f>C5*C6^2/6</f>
        <v>666666.66666666663</v>
      </c>
      <c r="F5" s="5" t="s">
        <v>108</v>
      </c>
      <c r="G5" s="17">
        <f>VLOOKUP($C$4,'DATOS MATERIAL'!$A$8:$M$35,3,FALSE)</f>
        <v>16.5</v>
      </c>
      <c r="H5" s="5" t="s">
        <v>109</v>
      </c>
      <c r="I5" s="17">
        <f>C14*C9*$C$32*G5/$C$8</f>
        <v>10.066364702051448</v>
      </c>
      <c r="J5" s="18"/>
      <c r="K5" s="55"/>
      <c r="N5" s="3">
        <v>1</v>
      </c>
      <c r="O5" s="3">
        <v>2</v>
      </c>
      <c r="P5" s="3">
        <v>3</v>
      </c>
      <c r="Q5" s="3" t="s">
        <v>182</v>
      </c>
      <c r="R5" s="3" t="s">
        <v>183</v>
      </c>
      <c r="S5" s="3" t="s">
        <v>184</v>
      </c>
    </row>
    <row r="6" spans="1:19" ht="24.95" customHeight="1" x14ac:dyDescent="0.2">
      <c r="A6" s="66"/>
      <c r="B6" s="59" t="s">
        <v>83</v>
      </c>
      <c r="C6" s="6">
        <v>200</v>
      </c>
      <c r="D6" s="5" t="s">
        <v>110</v>
      </c>
      <c r="E6" s="16">
        <f>C5*C6^3/12</f>
        <v>66666666.666666664</v>
      </c>
      <c r="F6" s="5" t="s">
        <v>111</v>
      </c>
      <c r="G6" s="17">
        <f>VLOOKUP($C$4,'DATOS MATERIAL'!$A$8:$M$35,4,FALSE)</f>
        <v>0.4</v>
      </c>
      <c r="H6" s="5" t="s">
        <v>112</v>
      </c>
      <c r="I6" s="17">
        <f>C14*C12*$C$32*G6/$C$8</f>
        <v>0.26646736319564085</v>
      </c>
      <c r="J6" s="18"/>
      <c r="K6" s="55"/>
      <c r="M6" s="3" t="s">
        <v>80</v>
      </c>
      <c r="N6" s="3">
        <v>0.6</v>
      </c>
      <c r="O6" s="3">
        <v>0.8</v>
      </c>
      <c r="P6" s="3">
        <v>2</v>
      </c>
      <c r="Q6" s="3">
        <v>1</v>
      </c>
      <c r="R6" s="3">
        <f>IF(C48&gt;=2*C6,1.5,1)</f>
        <v>1.5</v>
      </c>
      <c r="S6" s="3">
        <f>IF(C48&gt;=2*C6,1.75,1)</f>
        <v>1.75</v>
      </c>
    </row>
    <row r="7" spans="1:19" ht="24.95" customHeight="1" x14ac:dyDescent="0.2">
      <c r="A7" s="66"/>
      <c r="B7" s="59" t="s">
        <v>81</v>
      </c>
      <c r="C7" s="6">
        <v>1</v>
      </c>
      <c r="D7" s="5" t="s">
        <v>113</v>
      </c>
      <c r="E7" s="16">
        <f>(E6/E4)^0.5</f>
        <v>57.735026918962575</v>
      </c>
      <c r="F7" s="5" t="s">
        <v>114</v>
      </c>
      <c r="G7" s="17">
        <f>VLOOKUP($C$4,'DATOS MATERIAL'!$A$8:$M$35,5,FALSE)</f>
        <v>24</v>
      </c>
      <c r="H7" s="5" t="s">
        <v>115</v>
      </c>
      <c r="I7" s="17">
        <f>C14*$C$32*G7/$C$8</f>
        <v>13.310895473787037</v>
      </c>
      <c r="J7" s="18"/>
      <c r="K7" s="55"/>
      <c r="M7" s="3" t="s">
        <v>79</v>
      </c>
      <c r="N7" s="3">
        <v>0.6</v>
      </c>
      <c r="O7" s="3">
        <v>0.8</v>
      </c>
      <c r="P7" s="3">
        <v>2</v>
      </c>
      <c r="Q7" s="3">
        <v>1</v>
      </c>
      <c r="R7" s="3">
        <f>IF(C48&gt;=2*C6,1.25,1)</f>
        <v>1.25</v>
      </c>
      <c r="S7" s="3">
        <f>IF(C48&gt;=2*C6,1.5,1)</f>
        <v>1.5</v>
      </c>
    </row>
    <row r="8" spans="1:19" ht="24.95" customHeight="1" x14ac:dyDescent="0.2">
      <c r="A8" s="66"/>
      <c r="B8" s="59" t="s">
        <v>116</v>
      </c>
      <c r="C8" s="20">
        <f>IF(N4="ASERRADA",1.3,1.25)</f>
        <v>1.25</v>
      </c>
      <c r="D8" s="5" t="s">
        <v>117</v>
      </c>
      <c r="E8" s="16">
        <f>0.67*C5</f>
        <v>67</v>
      </c>
      <c r="F8" s="5" t="s">
        <v>118</v>
      </c>
      <c r="G8" s="17">
        <f>VLOOKUP($C$4,'DATOS MATERIAL'!$A$8:$M$35,6,FALSE)</f>
        <v>2.7</v>
      </c>
      <c r="H8" s="5" t="s">
        <v>119</v>
      </c>
      <c r="I8" s="17">
        <f>C14*$C$32*G8/$C$8</f>
        <v>1.4974757408010417</v>
      </c>
      <c r="J8" s="18"/>
      <c r="K8" s="55"/>
    </row>
    <row r="9" spans="1:19" ht="24.95" customHeight="1" x14ac:dyDescent="0.2">
      <c r="A9" s="66"/>
      <c r="B9" s="59" t="s">
        <v>120</v>
      </c>
      <c r="C9" s="20">
        <f>MAX(IF(N4="ASERRADA",MIN(1.3,(150/C6)^0.2),MIN(1.1,(600/C6)^0.1)),1)</f>
        <v>1.1000000000000001</v>
      </c>
      <c r="D9" s="5" t="s">
        <v>121</v>
      </c>
      <c r="E9" s="16">
        <f>C6*C5^2/6</f>
        <v>333333.33333333331</v>
      </c>
      <c r="F9" s="5" t="s">
        <v>122</v>
      </c>
      <c r="G9" s="17">
        <f>VLOOKUP($C$4,'DATOS MATERIAL'!$A$8:$M$35,7,FALSE)</f>
        <v>2.7</v>
      </c>
      <c r="H9" s="5" t="s">
        <v>123</v>
      </c>
      <c r="I9" s="17">
        <f>C14*$C$32*G9/$C$8</f>
        <v>1.4974757408010417</v>
      </c>
      <c r="J9" s="18"/>
      <c r="K9" s="55"/>
    </row>
    <row r="10" spans="1:19" ht="24.95" customHeight="1" x14ac:dyDescent="0.2">
      <c r="A10" s="66"/>
      <c r="B10" s="59" t="s">
        <v>124</v>
      </c>
      <c r="C10" s="7" t="s">
        <v>231</v>
      </c>
      <c r="D10" s="5" t="s">
        <v>125</v>
      </c>
      <c r="E10" s="16">
        <f>C6*C5^3/12</f>
        <v>16666666.666666666</v>
      </c>
      <c r="F10" s="5" t="s">
        <v>126</v>
      </c>
      <c r="G10" s="5">
        <f>VLOOKUP($C$4,'DATOS MATERIAL'!$A$8:$M$35,8,FALSE)</f>
        <v>11600</v>
      </c>
      <c r="H10" s="18"/>
      <c r="I10" s="18"/>
      <c r="J10" s="18"/>
      <c r="K10" s="55"/>
    </row>
    <row r="11" spans="1:19" ht="24.95" customHeight="1" x14ac:dyDescent="0.2">
      <c r="A11" s="66"/>
      <c r="B11" s="59" t="s">
        <v>53</v>
      </c>
      <c r="C11" s="8">
        <v>200</v>
      </c>
      <c r="D11" s="5" t="s">
        <v>113</v>
      </c>
      <c r="E11" s="16">
        <f>(E10/E4)^0.5</f>
        <v>28.867513459481287</v>
      </c>
      <c r="F11" s="5" t="s">
        <v>127</v>
      </c>
      <c r="G11" s="5">
        <f>VLOOKUP($C$4,'DATOS MATERIAL'!$A$8:$M$35,9,FALSE)</f>
        <v>9400</v>
      </c>
      <c r="H11" s="18"/>
      <c r="I11" s="18"/>
      <c r="J11" s="18"/>
      <c r="K11" s="55"/>
    </row>
    <row r="12" spans="1:19" ht="24.95" customHeight="1" x14ac:dyDescent="0.2">
      <c r="A12" s="66"/>
      <c r="B12" s="59" t="s">
        <v>128</v>
      </c>
      <c r="C12" s="20">
        <f>IF(C10="NO",1,IF(N4="LAMINADA",(10000000/(C5*C6*C11))^0.2,1))</f>
        <v>1.2011244339814313</v>
      </c>
      <c r="D12" s="5" t="s">
        <v>129</v>
      </c>
      <c r="E12" s="16">
        <f>0.67*C6</f>
        <v>134</v>
      </c>
      <c r="F12" s="5" t="s">
        <v>130</v>
      </c>
      <c r="G12" s="5">
        <f>VLOOKUP($C$4,'DATOS MATERIAL'!$A$8:$M$35,10,FALSE)</f>
        <v>390</v>
      </c>
      <c r="H12" s="18"/>
      <c r="I12" s="18"/>
      <c r="J12" s="18"/>
      <c r="K12" s="55"/>
    </row>
    <row r="13" spans="1:19" ht="24.95" customHeight="1" x14ac:dyDescent="0.2">
      <c r="A13" s="66"/>
      <c r="B13" s="59" t="s">
        <v>131</v>
      </c>
      <c r="C13" s="7" t="s">
        <v>231</v>
      </c>
      <c r="D13" s="5" t="s">
        <v>145</v>
      </c>
      <c r="E13" s="16">
        <f>MAX(0.5*C5,0.5*C6)*(MIN(0.5*C5,0.5*C6))^3*(16/3-3.36*(MIN(0.5*C5,0.5*C6)/MAX(0.5*C5,0.5*C6))*(1-((MIN(0.5*C5,0.5*C6))^4/(12*(MAX(0.5*C5,0.5*C6))^4))))</f>
        <v>45776041.666666664</v>
      </c>
      <c r="F13" s="5" t="s">
        <v>132</v>
      </c>
      <c r="G13" s="5">
        <f>VLOOKUP($C$4,'DATOS MATERIAL'!$A$8:$M$35,11,FALSE)</f>
        <v>720</v>
      </c>
      <c r="H13" s="18"/>
      <c r="I13" s="18"/>
      <c r="J13" s="18"/>
      <c r="K13" s="55"/>
    </row>
    <row r="14" spans="1:19" ht="24.95" customHeight="1" x14ac:dyDescent="0.2">
      <c r="A14" s="66"/>
      <c r="B14" s="59" t="s">
        <v>133</v>
      </c>
      <c r="C14" s="5">
        <f>IF(C13="SÍ",1.1,1)</f>
        <v>1.1000000000000001</v>
      </c>
      <c r="D14" s="5" t="s">
        <v>173</v>
      </c>
      <c r="E14" s="16">
        <f>MIN(2,1+0.15*MAX(C5:C6)/MIN(C5:C6))</f>
        <v>1.3</v>
      </c>
      <c r="F14" s="5" t="s">
        <v>134</v>
      </c>
      <c r="G14" s="5">
        <f>VLOOKUP($C$4,'DATOS MATERIAL'!$A$8:$M$35,12,FALSE)</f>
        <v>380</v>
      </c>
      <c r="H14" s="139" t="s">
        <v>238</v>
      </c>
      <c r="I14" s="140"/>
      <c r="J14" s="140"/>
      <c r="K14" s="7" t="s">
        <v>231</v>
      </c>
      <c r="M14" s="3" t="s">
        <v>239</v>
      </c>
      <c r="N14" s="3">
        <f>IF(K14="SÍ",C5*C6*G14/100000000,0)</f>
        <v>7.5999999999999998E-2</v>
      </c>
    </row>
    <row r="15" spans="1:19" ht="24.95" customHeight="1" thickBot="1" x14ac:dyDescent="0.25">
      <c r="A15" s="66"/>
      <c r="B15" s="60" t="s">
        <v>54</v>
      </c>
      <c r="C15" s="9">
        <v>3</v>
      </c>
      <c r="D15" s="15"/>
      <c r="E15" s="15"/>
      <c r="F15" s="15" t="s">
        <v>135</v>
      </c>
      <c r="G15" s="15">
        <f>VLOOKUP($C$4,'DATOS MATERIAL'!$A$8:$M$35,13,FALSE)</f>
        <v>380</v>
      </c>
      <c r="H15" s="19"/>
      <c r="I15" s="19"/>
      <c r="J15" s="19"/>
      <c r="K15" s="56"/>
    </row>
    <row r="16" spans="1:19" ht="24.95" customHeight="1" thickTop="1" x14ac:dyDescent="0.2">
      <c r="A16" s="66"/>
      <c r="B16" s="108" t="s">
        <v>149</v>
      </c>
      <c r="C16" s="109"/>
      <c r="D16" s="109"/>
      <c r="E16" s="109"/>
      <c r="F16" s="109"/>
      <c r="G16" s="109"/>
      <c r="H16" s="109"/>
      <c r="I16" s="109"/>
      <c r="J16" s="109"/>
      <c r="K16" s="110"/>
    </row>
    <row r="17" spans="1:26" ht="24.95" customHeight="1" x14ac:dyDescent="0.2">
      <c r="A17" s="66"/>
      <c r="B17" s="5"/>
      <c r="C17" s="5" t="s">
        <v>61</v>
      </c>
      <c r="D17" s="5" t="s">
        <v>156</v>
      </c>
      <c r="E17" s="5" t="s">
        <v>157</v>
      </c>
      <c r="F17" s="5" t="s">
        <v>158</v>
      </c>
      <c r="G17" s="135" t="s">
        <v>60</v>
      </c>
      <c r="H17" s="137" t="s">
        <v>161</v>
      </c>
      <c r="I17" s="137" t="s">
        <v>162</v>
      </c>
      <c r="J17" s="137" t="s">
        <v>163</v>
      </c>
      <c r="K17" s="135" t="s">
        <v>136</v>
      </c>
    </row>
    <row r="18" spans="1:26" ht="24.95" customHeight="1" x14ac:dyDescent="0.2">
      <c r="A18" s="66"/>
      <c r="B18" s="133" t="s">
        <v>193</v>
      </c>
      <c r="C18" s="134"/>
      <c r="D18" s="8">
        <v>0</v>
      </c>
      <c r="E18" s="8">
        <v>0</v>
      </c>
      <c r="F18" s="8">
        <v>0</v>
      </c>
      <c r="G18" s="136"/>
      <c r="H18" s="138"/>
      <c r="I18" s="138"/>
      <c r="J18" s="138"/>
      <c r="K18" s="136"/>
      <c r="N18" s="5" t="s">
        <v>61</v>
      </c>
      <c r="O18" s="5" t="s">
        <v>156</v>
      </c>
      <c r="P18" s="5" t="s">
        <v>157</v>
      </c>
      <c r="Q18" s="5" t="s">
        <v>158</v>
      </c>
    </row>
    <row r="19" spans="1:26" ht="24.95" customHeight="1" x14ac:dyDescent="0.2">
      <c r="A19" s="66"/>
      <c r="B19" s="59" t="s">
        <v>55</v>
      </c>
      <c r="C19" s="10">
        <v>0.4</v>
      </c>
      <c r="D19" s="10">
        <v>0</v>
      </c>
      <c r="E19" s="10">
        <v>0</v>
      </c>
      <c r="F19" s="10">
        <v>0</v>
      </c>
      <c r="G19" s="8">
        <v>1.35</v>
      </c>
      <c r="H19" s="8">
        <v>1</v>
      </c>
      <c r="I19" s="8">
        <v>1</v>
      </c>
      <c r="J19" s="8">
        <v>1</v>
      </c>
      <c r="K19" s="20">
        <f>IF($N$4="ASERRADA",VLOOKUP($M19,'DATOS MATERIAL'!$B$39:$D$53,2,FALSE),VLOOKUP($M19,'DATOS MATERIAL'!$B$39:$D$53,3,FALSE))</f>
        <v>0.5</v>
      </c>
      <c r="M19" s="3" t="str">
        <f>B19&amp;$C$15</f>
        <v>PERMANENTE3</v>
      </c>
    </row>
    <row r="20" spans="1:26" ht="24.95" customHeight="1" x14ac:dyDescent="0.2">
      <c r="A20" s="66"/>
      <c r="B20" s="59" t="s">
        <v>56</v>
      </c>
      <c r="C20" s="10">
        <v>0</v>
      </c>
      <c r="D20" s="10">
        <v>0</v>
      </c>
      <c r="E20" s="10">
        <v>0</v>
      </c>
      <c r="F20" s="10">
        <v>0</v>
      </c>
      <c r="G20" s="8">
        <v>1.35</v>
      </c>
      <c r="H20" s="8">
        <v>1</v>
      </c>
      <c r="I20" s="8">
        <v>1</v>
      </c>
      <c r="J20" s="8">
        <v>1</v>
      </c>
      <c r="K20" s="20">
        <f>IF($N$4="ASERRADA",VLOOKUP($M20,'DATOS MATERIAL'!$B$39:$D$53,2,FALSE),VLOOKUP($M20,'DATOS MATERIAL'!$B$39:$D$53,3,FALSE))</f>
        <v>0.55000000000000004</v>
      </c>
      <c r="M20" s="3" t="str">
        <f>B20&amp;$C$15</f>
        <v>LARGA3</v>
      </c>
      <c r="S20" s="13"/>
      <c r="T20" s="13"/>
      <c r="U20" s="13"/>
      <c r="V20" s="13"/>
      <c r="W20" s="13"/>
      <c r="X20" s="13"/>
      <c r="Y20" s="13"/>
      <c r="Z20" s="13"/>
    </row>
    <row r="21" spans="1:26" ht="24.95" customHeight="1" x14ac:dyDescent="0.2">
      <c r="A21" s="66"/>
      <c r="B21" s="59" t="s">
        <v>57</v>
      </c>
      <c r="C21" s="10">
        <v>0</v>
      </c>
      <c r="D21" s="10">
        <v>0</v>
      </c>
      <c r="E21" s="10">
        <v>0</v>
      </c>
      <c r="F21" s="10">
        <v>0</v>
      </c>
      <c r="G21" s="8">
        <v>1.5</v>
      </c>
      <c r="H21" s="8">
        <v>0.7</v>
      </c>
      <c r="I21" s="8">
        <v>0.5</v>
      </c>
      <c r="J21" s="8">
        <v>0.3</v>
      </c>
      <c r="K21" s="20">
        <f>IF($N$4="ASERRADA",VLOOKUP($M21,'DATOS MATERIAL'!$B$39:$D$53,2,FALSE),VLOOKUP($M21,'DATOS MATERIAL'!$B$39:$D$53,3,FALSE))</f>
        <v>0.65</v>
      </c>
      <c r="M21" s="3" t="str">
        <f>B21&amp;$C$15</f>
        <v>MEDIA3</v>
      </c>
    </row>
    <row r="22" spans="1:26" ht="24.95" customHeight="1" x14ac:dyDescent="0.2">
      <c r="A22" s="66"/>
      <c r="B22" s="59" t="s">
        <v>58</v>
      </c>
      <c r="C22" s="10">
        <v>0.8</v>
      </c>
      <c r="D22" s="10">
        <v>0</v>
      </c>
      <c r="E22" s="10">
        <v>0</v>
      </c>
      <c r="F22" s="10">
        <v>0</v>
      </c>
      <c r="G22" s="8">
        <v>1.5</v>
      </c>
      <c r="H22" s="8">
        <v>0.6</v>
      </c>
      <c r="I22" s="8">
        <v>0.5</v>
      </c>
      <c r="J22" s="8">
        <v>0</v>
      </c>
      <c r="K22" s="20">
        <f>IF($N$4="ASERRADA",VLOOKUP($M22,'DATOS MATERIAL'!$B$39:$D$53,2,FALSE),VLOOKUP($M22,'DATOS MATERIAL'!$B$39:$D$53,3,FALSE))</f>
        <v>0.7</v>
      </c>
      <c r="M22" s="3" t="str">
        <f>B22&amp;$C$15</f>
        <v>CORTA3</v>
      </c>
    </row>
    <row r="23" spans="1:26" ht="24.95" customHeight="1" x14ac:dyDescent="0.2">
      <c r="A23" s="66"/>
      <c r="B23" s="59" t="s">
        <v>59</v>
      </c>
      <c r="C23" s="10">
        <v>0</v>
      </c>
      <c r="D23" s="10">
        <v>0</v>
      </c>
      <c r="E23" s="10">
        <v>0</v>
      </c>
      <c r="F23" s="10">
        <v>0</v>
      </c>
      <c r="G23" s="8">
        <v>1</v>
      </c>
      <c r="H23" s="8">
        <v>0</v>
      </c>
      <c r="I23" s="8">
        <v>0</v>
      </c>
      <c r="J23" s="8">
        <v>0</v>
      </c>
      <c r="K23" s="20">
        <f>IF($N$4="ASERRADA",VLOOKUP($M23,'DATOS MATERIAL'!$B$39:$D$53,2,FALSE),VLOOKUP($M23,'DATOS MATERIAL'!$B$39:$D$53,3,FALSE))</f>
        <v>0.9</v>
      </c>
      <c r="M23" s="3" t="str">
        <f>B23&amp;$C$15</f>
        <v>INSTANTÁNEA3</v>
      </c>
    </row>
    <row r="24" spans="1:26" ht="24.95" customHeight="1" x14ac:dyDescent="0.2">
      <c r="A24" s="66"/>
      <c r="B24" s="59" t="s">
        <v>62</v>
      </c>
      <c r="C24" s="20">
        <f>SUM(C19:C23)+$N$14</f>
        <v>1.2760000000000002</v>
      </c>
      <c r="D24" s="20">
        <f>SUM(D19:D23)</f>
        <v>0</v>
      </c>
      <c r="E24" s="20">
        <f>SUM(E19:E23)</f>
        <v>0</v>
      </c>
      <c r="F24" s="20">
        <f>SUM(F19:F23)</f>
        <v>0</v>
      </c>
      <c r="G24" s="18"/>
      <c r="H24" s="18"/>
      <c r="I24" s="18"/>
      <c r="J24" s="18"/>
      <c r="K24" s="54"/>
      <c r="M24" s="3" t="s">
        <v>232</v>
      </c>
      <c r="N24" s="3">
        <f>(C23+C22+C21)/(C19+N14+C20)</f>
        <v>1.680672268907563</v>
      </c>
      <c r="O24" s="3">
        <f>IF(D24=0,0,(D23+D22+D21)/(D19+D20))</f>
        <v>0</v>
      </c>
      <c r="P24" s="3">
        <f>IF(E24=0,0,(E23+E22+E21)/(E19+E20))</f>
        <v>0</v>
      </c>
      <c r="Q24" s="3">
        <f>IF(F24=0,0,(F23+F22+F21)/(F19+F20))</f>
        <v>0</v>
      </c>
    </row>
    <row r="25" spans="1:26" ht="24.95" customHeight="1" x14ac:dyDescent="0.2">
      <c r="A25" s="66"/>
      <c r="B25" s="59" t="s">
        <v>63</v>
      </c>
      <c r="C25" s="20">
        <f>(C19+N14)*$G19+C20*$G20+C21*$G21+C22*$G22+C23*$G23</f>
        <v>1.8426000000000002</v>
      </c>
      <c r="D25" s="20">
        <f>D19*$G19+D20*$G20+D21*$G21+D22*$G22+D23*$G23</f>
        <v>0</v>
      </c>
      <c r="E25" s="20">
        <f>E19*$G19+E20*$G20+E21*$G21+E22*$G22+E23*$G23</f>
        <v>0</v>
      </c>
      <c r="F25" s="20">
        <f>F19*$G19+F20*$G20+F21*$G21+F22*$G22+F23*$G23</f>
        <v>0</v>
      </c>
      <c r="G25" s="18"/>
      <c r="H25" s="18"/>
      <c r="I25" s="18"/>
      <c r="J25" s="18"/>
      <c r="K25" s="55"/>
    </row>
    <row r="26" spans="1:26" ht="24.95" customHeight="1" x14ac:dyDescent="0.2">
      <c r="A26" s="66"/>
      <c r="B26" s="59" t="s">
        <v>213</v>
      </c>
      <c r="C26" s="20">
        <f>(C19+N14)*G19+C20*G20+C21*G21*I21+C22*G22*J22</f>
        <v>0.64260000000000006</v>
      </c>
      <c r="D26" s="20">
        <f>D19*G19+D20*G20+D21*G21*I21+D22*G22*J22</f>
        <v>0</v>
      </c>
      <c r="E26" s="20">
        <f>E19*G19+E20*G20+E21*G21*I21+E22*G22*J22</f>
        <v>0</v>
      </c>
      <c r="F26" s="20">
        <f>F19*G19+F20*G20+F21*G21*I21+F22*G22*J22</f>
        <v>0</v>
      </c>
      <c r="G26" s="18"/>
      <c r="H26" s="18"/>
      <c r="I26" s="18"/>
      <c r="J26" s="18"/>
      <c r="K26" s="55"/>
    </row>
    <row r="27" spans="1:26" ht="24.95" customHeight="1" x14ac:dyDescent="0.2">
      <c r="A27" s="66"/>
      <c r="B27" s="59" t="s">
        <v>165</v>
      </c>
      <c r="C27" s="20">
        <f>C19+N14+C20+C21+C22*$H22+C23*$H23</f>
        <v>0.95599999999999996</v>
      </c>
      <c r="D27" s="20">
        <f>D19+D20+D21+D22*$H22+D23*$H23</f>
        <v>0</v>
      </c>
      <c r="E27" s="20">
        <f>E19+E20+E21+E22*$H22+E23*$H23</f>
        <v>0</v>
      </c>
      <c r="F27" s="20">
        <f>F19+F20+F21+F22*$H22+F23*$H23</f>
        <v>0</v>
      </c>
      <c r="G27" s="18"/>
      <c r="H27" s="18"/>
      <c r="I27" s="89"/>
      <c r="J27" s="18"/>
      <c r="K27" s="55"/>
    </row>
    <row r="28" spans="1:26" ht="24.95" customHeight="1" x14ac:dyDescent="0.2">
      <c r="A28" s="66"/>
      <c r="B28" s="59" t="s">
        <v>241</v>
      </c>
      <c r="C28" s="20">
        <f>C22*$I22+C23*$I23</f>
        <v>0.4</v>
      </c>
      <c r="D28" s="20">
        <f>D22*$I22+D23*$I23</f>
        <v>0</v>
      </c>
      <c r="E28" s="20">
        <f>E19+E20+E21*$I21+E22*$J22+E23*$J23</f>
        <v>0</v>
      </c>
      <c r="F28" s="20">
        <f>F19+F20+F21*$I21+F22*$J22+F23*$J23</f>
        <v>0</v>
      </c>
      <c r="G28" s="18"/>
      <c r="I28" s="18"/>
      <c r="J28" s="18"/>
      <c r="K28" s="55"/>
    </row>
    <row r="29" spans="1:26" ht="24.95" customHeight="1" x14ac:dyDescent="0.2">
      <c r="A29" s="66"/>
      <c r="B29" s="59" t="s">
        <v>166</v>
      </c>
      <c r="C29" s="20">
        <f>C19+N14+C20+C21*$J21+C22*$J22+C23*$J23</f>
        <v>0.47600000000000003</v>
      </c>
      <c r="D29" s="20">
        <f>D19+D20+D21*$J21+D22*$J22+D23*$J23</f>
        <v>0</v>
      </c>
      <c r="E29" s="20">
        <f>EE22*$I22+E23*$I23</f>
        <v>0</v>
      </c>
      <c r="F29" s="20">
        <f>F22*$I22+F23*$I23</f>
        <v>0</v>
      </c>
      <c r="G29" s="18"/>
      <c r="H29" s="18"/>
      <c r="I29" s="18"/>
      <c r="J29" s="18"/>
      <c r="K29" s="55"/>
    </row>
    <row r="30" spans="1:26" ht="24.95" customHeight="1" x14ac:dyDescent="0.2">
      <c r="A30" s="66"/>
      <c r="B30" s="59" t="s">
        <v>227</v>
      </c>
      <c r="C30" s="20">
        <f>(C19+N14)*(1-G30)+C20+C21+C22*$H22+C23*$H23</f>
        <v>0.48</v>
      </c>
      <c r="D30" s="20">
        <f>D19*(1-G30)+D20+D21+D22*$H22+D23*$H23</f>
        <v>0</v>
      </c>
      <c r="E30" s="20">
        <f>E19*(1-G30)+E20+E21+E22*$H22+E23*$H23</f>
        <v>0</v>
      </c>
      <c r="F30" s="20">
        <f>F19*(1-G30)+F20+F21+F22*$H22+F23*$H23</f>
        <v>0</v>
      </c>
      <c r="G30" s="92">
        <v>1</v>
      </c>
      <c r="H30" s="101" t="s">
        <v>228</v>
      </c>
      <c r="I30" s="101"/>
      <c r="J30" s="101"/>
      <c r="K30" s="101"/>
    </row>
    <row r="31" spans="1:26" ht="24.95" customHeight="1" x14ac:dyDescent="0.2">
      <c r="A31" s="66"/>
      <c r="B31" s="59" t="s">
        <v>137</v>
      </c>
      <c r="C31" s="20">
        <f>IF(C25=0,0,(K19*(C19+N14)*$G19+K20*C20*$G20+K21*C21*$G21+K22*C22*$G22+K23*C23*$G23)/C25)</f>
        <v>0.63025073266037102</v>
      </c>
      <c r="D31" s="20">
        <f>IF(D25=0,0,(K19*D19*$G19+K20*D20*$G20+K21*D21*$G21+K22*D22*$G22+K23*D23*$G23)/D25)</f>
        <v>0</v>
      </c>
      <c r="E31" s="20">
        <f>IF(E25=0,0,(K19*E19*$G19+K20*E20*$G20+K21*E21*$G21+K22*E22*$G22+K23*E23*$G23)/E25)</f>
        <v>0</v>
      </c>
      <c r="F31" s="20">
        <f>IF(F25=0,0,(K19*F19*$G19+K20*F20*$G20+K21*F21*$G21+K22*F22*$G22+K23*F23*$G23)/F25)</f>
        <v>0</v>
      </c>
      <c r="G31" s="18"/>
      <c r="H31" s="18"/>
      <c r="I31" s="18"/>
      <c r="J31" s="18"/>
      <c r="K31" s="55"/>
    </row>
    <row r="32" spans="1:26" ht="24.95" customHeight="1" thickBot="1" x14ac:dyDescent="0.25">
      <c r="A32" s="66"/>
      <c r="B32" s="60" t="s">
        <v>164</v>
      </c>
      <c r="C32" s="21">
        <f>(C31*C25*C8+D31*D25+E31*E25+F31*F25)/(C25*C8+D25+E25+F25)</f>
        <v>0.63025073266037102</v>
      </c>
      <c r="D32" s="22"/>
      <c r="E32" s="19"/>
      <c r="F32" s="19"/>
      <c r="G32" s="19"/>
      <c r="H32" s="19"/>
      <c r="I32" s="19"/>
      <c r="J32" s="19"/>
      <c r="K32" s="56"/>
      <c r="L32" s="4"/>
    </row>
    <row r="33" spans="1:13" ht="24.95" customHeight="1" thickTop="1" thickBot="1" x14ac:dyDescent="0.25">
      <c r="A33" s="66"/>
      <c r="B33" s="108" t="s">
        <v>154</v>
      </c>
      <c r="C33" s="109"/>
      <c r="D33" s="109"/>
      <c r="E33" s="109"/>
      <c r="F33" s="109"/>
      <c r="G33" s="109"/>
      <c r="H33" s="109"/>
      <c r="I33" s="109"/>
      <c r="J33" s="109"/>
      <c r="K33" s="110"/>
      <c r="L33" s="4"/>
      <c r="M33" s="4"/>
    </row>
    <row r="34" spans="1:13" ht="24.95" customHeight="1" x14ac:dyDescent="0.2">
      <c r="A34" s="66"/>
      <c r="B34" s="59" t="s">
        <v>152</v>
      </c>
      <c r="C34" s="8">
        <v>0</v>
      </c>
      <c r="D34" s="5" t="s">
        <v>150</v>
      </c>
      <c r="E34" s="17">
        <f>C25*C7*0.5+D25*(C7-D18)/C7+E25*(C7-E18)/C7+F25*(C7-F18)/C7+C34/C7-C35/C7</f>
        <v>0.92130000000000012</v>
      </c>
      <c r="F34" s="23" t="s">
        <v>155</v>
      </c>
      <c r="G34" s="24">
        <f>-E34+C25*0.5*C7+IF(D18&lt;0.5*C7,D25,0)+IF(E18&lt;0.5*C7,E25,0)+IF(F18&lt;0.5*C7,F25,0)</f>
        <v>0</v>
      </c>
      <c r="H34" s="25">
        <f>-E34+C25*D18</f>
        <v>-0.92130000000000012</v>
      </c>
      <c r="I34" s="26">
        <f>-E34+C25*E18+D25</f>
        <v>-0.92130000000000012</v>
      </c>
      <c r="J34" s="26">
        <f>-E34+C25*F18+D25+E25</f>
        <v>-0.92130000000000012</v>
      </c>
      <c r="K34" s="57" t="s">
        <v>194</v>
      </c>
    </row>
    <row r="35" spans="1:13" ht="24.95" customHeight="1" x14ac:dyDescent="0.2">
      <c r="A35" s="66"/>
      <c r="B35" s="59" t="s">
        <v>153</v>
      </c>
      <c r="C35" s="8">
        <v>0</v>
      </c>
      <c r="D35" s="5" t="s">
        <v>151</v>
      </c>
      <c r="E35" s="27">
        <f>C25*C7+D25+E25+F25-E34+C35/C7-C34/C7</f>
        <v>0.92130000000000012</v>
      </c>
      <c r="F35" s="28" t="s">
        <v>176</v>
      </c>
      <c r="G35" s="29">
        <f>IF(H36&gt;=MAX(G36:J36),D18,IF(I36&gt;=MAX(G36:J36),E18,IF(J36&gt;=MAX(G36:J36),F18,0.5*C7)))</f>
        <v>0.5</v>
      </c>
      <c r="H35" s="30">
        <f>H34+D25</f>
        <v>-0.92130000000000012</v>
      </c>
      <c r="I35" s="17">
        <f>I34+E25</f>
        <v>-0.92130000000000012</v>
      </c>
      <c r="J35" s="17">
        <f>J34+F25</f>
        <v>-0.92130000000000012</v>
      </c>
      <c r="K35" s="5" t="s">
        <v>195</v>
      </c>
    </row>
    <row r="36" spans="1:13" ht="24.95" customHeight="1" thickBot="1" x14ac:dyDescent="0.25">
      <c r="A36" s="66"/>
      <c r="B36" s="60" t="s">
        <v>197</v>
      </c>
      <c r="C36" s="44">
        <v>0</v>
      </c>
      <c r="D36" s="45"/>
      <c r="E36" s="45"/>
      <c r="F36" s="46" t="s">
        <v>159</v>
      </c>
      <c r="G36" s="47">
        <f>C25*C7^2/8+D25*(C7-D18)*D18/C7+E25*(C7-E18)*E18/C7+F25*(C7-F18)*F18/C7-(C34+C35)*0.5</f>
        <v>0.23032500000000003</v>
      </c>
      <c r="H36" s="48">
        <f>-$C$25*D18^2*0.5+$C$25*$C$7*D18*0.5+D25*($C$7-D18)*D18/$C$7+E25*($C$7-E18)*D18/$C$7+F25*($C$7-F18)*D18/$C$7-$C$34*($C$7-D18)/$C$7-$C$35*D18/$C$7</f>
        <v>0</v>
      </c>
      <c r="I36" s="49">
        <f>-$C$25*E18^2*0.5+$C$25*$C$7*E18*0.5+D25*D18*($C$7-E18)/$C$7+E25*($C$7-E18)*E18/$C$7+F25*($C$7-F18)*E18/$C$7-$C$34*($C$7-E18)/$C$7-$C$35*E18/$C$7</f>
        <v>0</v>
      </c>
      <c r="J36" s="49">
        <f>-$C$25*F18^2*0.5+$C$25*$C$7*F18*0.5+E25*E18*($C$7-F18)/$C$7+F25*($C$7-F18)*F18/$C$7+N27*($C$7-O27)*F18/$C$7-$C$34*($C$7-F18)/$C$7-$C$35*F18/$C$7</f>
        <v>0</v>
      </c>
      <c r="K36" s="15" t="s">
        <v>196</v>
      </c>
    </row>
    <row r="37" spans="1:13" ht="24.95" customHeight="1" thickTop="1" x14ac:dyDescent="0.2">
      <c r="A37" s="66"/>
      <c r="B37" s="72" t="s">
        <v>198</v>
      </c>
      <c r="C37" s="72"/>
      <c r="D37" s="72"/>
      <c r="E37" s="74"/>
      <c r="F37" s="72" t="s">
        <v>185</v>
      </c>
      <c r="G37" s="74"/>
      <c r="H37" s="72" t="s">
        <v>200</v>
      </c>
      <c r="I37" s="74"/>
      <c r="J37" s="72" t="s">
        <v>185</v>
      </c>
      <c r="K37" s="73"/>
    </row>
    <row r="38" spans="1:13" ht="24.95" customHeight="1" x14ac:dyDescent="0.2">
      <c r="A38" s="66"/>
      <c r="B38" s="93" t="s">
        <v>186</v>
      </c>
      <c r="C38" s="11">
        <v>0</v>
      </c>
      <c r="D38" s="5" t="str">
        <f>IF(B38="Ned-TRACCIÓN (kN)","Nt,Rd","NRdz")</f>
        <v>NRdz</v>
      </c>
      <c r="E38" s="31">
        <f>IF(B38="Ned-TRACCIÓN (kN)",E4*I5/1000,E4*I7/1000*C65)</f>
        <v>266.83764053379639</v>
      </c>
      <c r="F38" s="20">
        <f>C38/E38</f>
        <v>0</v>
      </c>
      <c r="G38" s="5" t="str">
        <f>IF(E38&gt;=C38,"CUMPLE","NO CUMPLE")</f>
        <v>CUMPLE</v>
      </c>
      <c r="H38" s="101" t="s">
        <v>190</v>
      </c>
      <c r="I38" s="101"/>
      <c r="J38" s="20">
        <f>MAX(0.7*C40/E40+C41/E41,C40/E40+0.7*C41/E41)</f>
        <v>2.3595673639918369E-2</v>
      </c>
      <c r="K38" s="5" t="str">
        <f>IF(J38&lt;=1,"CUMPLE","NO CUMPLE")</f>
        <v>CUMPLE</v>
      </c>
    </row>
    <row r="39" spans="1:13" ht="24.95" customHeight="1" x14ac:dyDescent="0.2">
      <c r="A39" s="66"/>
      <c r="B39" s="59" t="s">
        <v>230</v>
      </c>
      <c r="C39" s="11" t="s">
        <v>231</v>
      </c>
      <c r="D39" s="5" t="str">
        <f>IF(B38="Ned-TRACCIÓN (kN)","","NRdy")</f>
        <v>NRdy</v>
      </c>
      <c r="E39" s="31">
        <f>IF(B38="Ned-TRACCIÓN (kN)","",E4*I7/1000*G65)</f>
        <v>256.79155756144769</v>
      </c>
      <c r="F39" s="20">
        <f>IF(B38="Ned-TRACCIÓN (kN)","",C38/E39)</f>
        <v>0</v>
      </c>
      <c r="G39" s="5" t="str">
        <f>IF(B38="Ned-TRACCIÓN (kN)","",IF(E39&gt;=C38,"CUMPLE","NO CUMPLE"))</f>
        <v>CUMPLE</v>
      </c>
      <c r="H39" s="101" t="s">
        <v>192</v>
      </c>
      <c r="I39" s="101"/>
      <c r="J39" s="20">
        <f>IF(B38="Ned-COMPRESIÓN (kN)",MAX((C38/MIN(E38:E39))+0.7*C40/E40+C41/E41,(C38/MIN(E38:E39))+C40/E40+0.7*C41/E41),MAX(C38/E38+0.7*C40/E40+C41/E41,C38/E38+C40/E40+0.7*C41/E41))</f>
        <v>2.3595673639918369E-2</v>
      </c>
      <c r="K39" s="5" t="str">
        <f>IF(J39&lt;=1,"CUMPLE","NO CUMPLE")</f>
        <v>CUMPLE</v>
      </c>
    </row>
    <row r="40" spans="1:13" ht="24.95" customHeight="1" x14ac:dyDescent="0.2">
      <c r="A40" s="66"/>
      <c r="B40" s="59" t="s">
        <v>90</v>
      </c>
      <c r="C40" s="17">
        <f>IF(C39="NO",0,COS(PI()/180*C36)*MAX(ABS(C34),ABS(C35),ABS(G36),ABS(H36),ABS(I36),ABS(J36)))</f>
        <v>0.23032500000000003</v>
      </c>
      <c r="D40" s="5" t="s">
        <v>138</v>
      </c>
      <c r="E40" s="31">
        <f>IF(C50="SÍ",G50,E5*I4/1000000)</f>
        <v>9.7613233474438257</v>
      </c>
      <c r="F40" s="20">
        <f>C40/E40</f>
        <v>2.3595673639918369E-2</v>
      </c>
      <c r="G40" s="5" t="str">
        <f t="shared" ref="G40:G46" si="0">IF(E40&gt;=C40,"CUMPLE","NO CUMPLE")</f>
        <v>CUMPLE</v>
      </c>
      <c r="H40" s="101" t="s">
        <v>191</v>
      </c>
      <c r="I40" s="101"/>
      <c r="J40" s="20">
        <f>IF(B38="Ned-COMPRESIÓN (kN)",MAX(((C38*1000/(C5*C6))/I7)^2+0.7*C40/E40+C41/E41,((C38*1000/(C5*C6))/I7)^2+C40/E40+0.7*C41/E41),MAX((C38*1000/(C5*C6))/I7+0.7*C40/E40+C41/E41,(C38*1000/(C5*C6))/I7+C40/E40+0.7*C41/E41))</f>
        <v>2.3595673639918369E-2</v>
      </c>
      <c r="K40" s="5" t="str">
        <f t="shared" ref="K40:K41" si="1">IF(J40&lt;=1,"CUMPLE","NO CUMPLE")</f>
        <v>CUMPLE</v>
      </c>
    </row>
    <row r="41" spans="1:13" ht="24.95" customHeight="1" x14ac:dyDescent="0.2">
      <c r="A41" s="66"/>
      <c r="B41" s="59" t="s">
        <v>91</v>
      </c>
      <c r="C41" s="17">
        <f>IF(C39="NO",0,SIN(PI()/180*C36)*MAX(ABS(C34),ABS(C35),ABS(G36),ABS(H36),ABS(I36),ABS(J36)))</f>
        <v>0</v>
      </c>
      <c r="D41" s="5" t="s">
        <v>139</v>
      </c>
      <c r="E41" s="31">
        <f>E9*I4/1000000</f>
        <v>4.8806616737219128</v>
      </c>
      <c r="F41" s="20">
        <f t="shared" ref="F41:F46" si="2">C41/E41</f>
        <v>0</v>
      </c>
      <c r="G41" s="5" t="str">
        <f t="shared" si="0"/>
        <v>CUMPLE</v>
      </c>
      <c r="H41" s="101" t="s">
        <v>201</v>
      </c>
      <c r="I41" s="101"/>
      <c r="J41" s="20">
        <f>C45/E45+C42/E42+C43/E43</f>
        <v>6.8526992906539158E-2</v>
      </c>
      <c r="K41" s="5" t="str">
        <f t="shared" si="1"/>
        <v>CUMPLE</v>
      </c>
    </row>
    <row r="42" spans="1:13" ht="24.95" customHeight="1" x14ac:dyDescent="0.2">
      <c r="A42" s="66"/>
      <c r="B42" s="59" t="s">
        <v>92</v>
      </c>
      <c r="C42" s="17">
        <f>IF(C39="NO",0,COS(PI()/180*C36)*MAX(ABS(E34),ABS(E35),ABS(H34),ABS(H35),ABS(I34),ABS(I35),ABS(J34),ABS(J35)))</f>
        <v>0.92130000000000012</v>
      </c>
      <c r="D42" s="5" t="s">
        <v>140</v>
      </c>
      <c r="E42" s="31">
        <f>E8*C6*0.67*I9/1000</f>
        <v>13.444337200911752</v>
      </c>
      <c r="F42" s="20">
        <f t="shared" si="2"/>
        <v>6.8526992906539158E-2</v>
      </c>
      <c r="G42" s="5" t="str">
        <f t="shared" si="0"/>
        <v>CUMPLE</v>
      </c>
      <c r="H42" s="101" t="s">
        <v>187</v>
      </c>
      <c r="I42" s="101"/>
      <c r="J42" s="20">
        <f>(J43*1000/(C5*C6/SIN(J44*PI()/180)))*(I7*(SIN(J44*PI()/180)^2/I8+COS(J44*PI()/180)^2))/I7</f>
        <v>0</v>
      </c>
      <c r="K42" s="5" t="str">
        <f>IF(J42&lt;=1,"CUMPLE","NO CUMPLE")</f>
        <v>CUMPLE</v>
      </c>
    </row>
    <row r="43" spans="1:13" ht="24.95" customHeight="1" x14ac:dyDescent="0.2">
      <c r="A43" s="66"/>
      <c r="B43" s="59" t="s">
        <v>93</v>
      </c>
      <c r="C43" s="17">
        <f>IF(C39="NO",0,SIN(PI()/180*C36)*MAX(ABS(E34),ABS(E35),ABS(H34),ABS(H35),ABS(I34),ABS(I35),ABS(J34),ABS(J35)))</f>
        <v>0</v>
      </c>
      <c r="D43" s="5" t="s">
        <v>141</v>
      </c>
      <c r="E43" s="31">
        <f>E12*C5*0.67*I9/1000</f>
        <v>13.444337200911752</v>
      </c>
      <c r="F43" s="20">
        <f t="shared" si="2"/>
        <v>0</v>
      </c>
      <c r="G43" s="5" t="str">
        <f t="shared" si="0"/>
        <v>CUMPLE</v>
      </c>
      <c r="H43" s="101" t="s">
        <v>189</v>
      </c>
      <c r="I43" s="101"/>
      <c r="J43" s="8">
        <v>0</v>
      </c>
      <c r="K43" s="55"/>
    </row>
    <row r="44" spans="1:13" ht="24.95" customHeight="1" x14ac:dyDescent="0.2">
      <c r="A44" s="66"/>
      <c r="B44" s="59" t="s">
        <v>174</v>
      </c>
      <c r="C44" s="10">
        <v>0</v>
      </c>
      <c r="D44" s="5" t="s">
        <v>175</v>
      </c>
      <c r="E44" s="31">
        <f>E13*I9*E14/1000000</f>
        <v>89.11306547745032</v>
      </c>
      <c r="F44" s="20">
        <f>C44/E44</f>
        <v>0</v>
      </c>
      <c r="G44" s="5" t="str">
        <f t="shared" si="0"/>
        <v>CUMPLE</v>
      </c>
      <c r="H44" s="101" t="s">
        <v>188</v>
      </c>
      <c r="I44" s="101"/>
      <c r="J44" s="11">
        <v>0.1</v>
      </c>
      <c r="K44" s="55"/>
    </row>
    <row r="45" spans="1:13" ht="24.95" customHeight="1" x14ac:dyDescent="0.2">
      <c r="A45" s="66"/>
      <c r="B45" s="59" t="s">
        <v>235</v>
      </c>
      <c r="C45" s="10">
        <v>0</v>
      </c>
      <c r="D45" s="5" t="s">
        <v>218</v>
      </c>
      <c r="E45" s="31">
        <f>C11*C5*I6/1000</f>
        <v>5.3293472639128163</v>
      </c>
      <c r="F45" s="20">
        <f t="shared" si="2"/>
        <v>0</v>
      </c>
      <c r="G45" s="5" t="str">
        <f t="shared" si="0"/>
        <v>CUMPLE</v>
      </c>
      <c r="H45" s="18"/>
      <c r="I45" s="18"/>
      <c r="J45" s="18"/>
      <c r="K45" s="55"/>
    </row>
    <row r="46" spans="1:13" ht="24.95" customHeight="1" x14ac:dyDescent="0.2">
      <c r="A46" s="66"/>
      <c r="B46" s="59" t="s">
        <v>236</v>
      </c>
      <c r="C46" s="10">
        <v>0</v>
      </c>
      <c r="D46" s="5" t="s">
        <v>219</v>
      </c>
      <c r="E46" s="31">
        <f>E48*D49*I8/1000</f>
        <v>28.826408010420053</v>
      </c>
      <c r="F46" s="20">
        <f t="shared" si="2"/>
        <v>0</v>
      </c>
      <c r="G46" s="5" t="str">
        <f t="shared" si="0"/>
        <v>CUMPLE</v>
      </c>
      <c r="H46" s="18"/>
      <c r="I46" s="18"/>
      <c r="J46" s="18"/>
      <c r="K46" s="55"/>
    </row>
    <row r="47" spans="1:13" ht="24.95" customHeight="1" x14ac:dyDescent="0.2">
      <c r="A47" s="66"/>
      <c r="B47" s="59" t="s">
        <v>177</v>
      </c>
      <c r="C47" s="11">
        <v>50</v>
      </c>
      <c r="D47" s="5" t="s">
        <v>180</v>
      </c>
      <c r="E47" s="32">
        <f>IF((C47+IF(F47="UN LADO",30,60))&lt;=(MAX(C47+IF(F47="UN LADO",C48*0.5,C48),IF(F47="UN LADO",2*C47,3*C47))),C47+IF(F47="UN LADO",30,60),MAX(C47+IF(F47="UN LADO",C48*0.5,C48),IF(F47="UN LADO",C47*2,C47*3)))</f>
        <v>110</v>
      </c>
      <c r="F47" s="10" t="s">
        <v>242</v>
      </c>
      <c r="G47" s="18"/>
      <c r="H47" s="89"/>
      <c r="I47" s="89"/>
      <c r="J47" s="18"/>
      <c r="K47" s="55"/>
    </row>
    <row r="48" spans="1:13" ht="24.95" customHeight="1" x14ac:dyDescent="0.2">
      <c r="A48" s="66"/>
      <c r="B48" s="59" t="s">
        <v>178</v>
      </c>
      <c r="C48" s="11">
        <v>500</v>
      </c>
      <c r="D48" s="5" t="s">
        <v>179</v>
      </c>
      <c r="E48" s="32">
        <f>E47*C5</f>
        <v>11000</v>
      </c>
      <c r="F48" s="18"/>
      <c r="G48" s="18"/>
      <c r="H48" s="18"/>
      <c r="I48" s="18"/>
      <c r="J48" s="18"/>
      <c r="K48" s="55"/>
    </row>
    <row r="49" spans="1:11" ht="24.95" customHeight="1" thickBot="1" x14ac:dyDescent="0.25">
      <c r="A49" s="66"/>
      <c r="B49" s="60" t="s">
        <v>181</v>
      </c>
      <c r="C49" s="10" t="s">
        <v>184</v>
      </c>
      <c r="D49" s="5">
        <f>IF(C49="DURMIENTE",VLOOKUP(N4,M6:S7,6,FALSE),IF(C49="SOBRE APOYOS",VLOOKUP(N4,M6:S7,7,FALSE),1))</f>
        <v>1.75</v>
      </c>
      <c r="E49" s="17"/>
      <c r="F49" s="19"/>
      <c r="G49" s="19"/>
      <c r="H49" s="19"/>
      <c r="I49" s="19"/>
      <c r="J49" s="19"/>
      <c r="K49" s="56"/>
    </row>
    <row r="50" spans="1:11" ht="24.95" customHeight="1" thickTop="1" x14ac:dyDescent="0.2">
      <c r="A50" s="66"/>
      <c r="B50" s="72" t="s">
        <v>88</v>
      </c>
      <c r="C50" s="12" t="s">
        <v>89</v>
      </c>
      <c r="D50" s="33" t="s">
        <v>142</v>
      </c>
      <c r="E50" s="34">
        <f>PI()*(G11*MIN(E6,E10)*G13*E13)^0.5/(C51*C7*1000*MAX(E5,E9))</f>
        <v>338.62171073216405</v>
      </c>
      <c r="F50" s="35" t="s">
        <v>220</v>
      </c>
      <c r="G50" s="17">
        <f>E5*I4*G51/1000000</f>
        <v>9.7613233474438257</v>
      </c>
      <c r="H50" s="18"/>
      <c r="I50" s="18"/>
      <c r="J50" s="18"/>
      <c r="K50" s="55"/>
    </row>
    <row r="51" spans="1:11" ht="24.95" customHeight="1" x14ac:dyDescent="0.2">
      <c r="A51" s="66"/>
      <c r="B51" s="67" t="s">
        <v>146</v>
      </c>
      <c r="C51" s="75">
        <v>1</v>
      </c>
      <c r="D51" s="68" t="s">
        <v>147</v>
      </c>
      <c r="E51" s="69">
        <f>(G4/E50)^0.5</f>
        <v>0.26622462325879304</v>
      </c>
      <c r="F51" s="70" t="s">
        <v>148</v>
      </c>
      <c r="G51" s="71">
        <f>MIN(1,IF(E51&lt;=1.4,1.56-0.75*E51,1/E51^2))</f>
        <v>1</v>
      </c>
      <c r="H51" s="18"/>
      <c r="I51" s="18"/>
      <c r="J51" s="18"/>
      <c r="K51" s="55"/>
    </row>
    <row r="52" spans="1:11" ht="24.95" customHeight="1" x14ac:dyDescent="0.2">
      <c r="A52" s="66"/>
      <c r="B52" s="111" t="s">
        <v>160</v>
      </c>
      <c r="C52" s="112"/>
      <c r="D52" s="112"/>
      <c r="E52" s="112"/>
      <c r="F52" s="112"/>
      <c r="G52" s="112"/>
      <c r="H52" s="112"/>
      <c r="I52" s="112"/>
      <c r="J52" s="112"/>
      <c r="K52" s="113"/>
    </row>
    <row r="53" spans="1:11" ht="24.95" customHeight="1" x14ac:dyDescent="0.2">
      <c r="A53" s="66"/>
      <c r="B53" s="55"/>
      <c r="C53" s="36" t="s">
        <v>167</v>
      </c>
      <c r="D53" s="37">
        <f>VLOOKUP(N4,M6:P7,C15+1,FALSE)</f>
        <v>2</v>
      </c>
      <c r="E53" s="141" t="s">
        <v>229</v>
      </c>
      <c r="F53" s="141"/>
      <c r="G53" s="8" t="s">
        <v>237</v>
      </c>
      <c r="H53" s="91">
        <f>IF(G53="FRÁGILES",500,IF(G53="ORDINARIOS",400,300))</f>
        <v>300</v>
      </c>
      <c r="I53" s="18"/>
      <c r="J53" s="18"/>
      <c r="K53" s="55"/>
    </row>
    <row r="54" spans="1:11" ht="24.95" customHeight="1" x14ac:dyDescent="0.2">
      <c r="A54" s="66"/>
      <c r="B54" s="59" t="s">
        <v>203</v>
      </c>
      <c r="C54" s="35" t="s">
        <v>168</v>
      </c>
      <c r="D54" s="5" t="s">
        <v>226</v>
      </c>
      <c r="E54" s="5" t="s">
        <v>233</v>
      </c>
      <c r="F54" s="88" t="s">
        <v>234</v>
      </c>
      <c r="J54" s="18"/>
      <c r="K54" s="55"/>
    </row>
    <row r="55" spans="1:11" ht="24.95" customHeight="1" x14ac:dyDescent="0.2">
      <c r="A55" s="66"/>
      <c r="B55" s="59" t="s">
        <v>169</v>
      </c>
      <c r="C55" s="17">
        <f>5*C27*(C7*1000)^4/(384*G10*E6)+D27*1000*(D18*1000)^2*(C7*1000-D18*1000)^2/(3*C7*1000*G10*E6)+E27*1000*(E18*1000)^2*(C7*1000-E18*1000)^2/(3*C7*1000*G10*E6)+F27*1000*(F18*1000)^2*(C7*1000-F18*1000)^2/(3*C7*1000*G10*E6)-(C34+C35)*C27*1000000*(C7*1000)^2/(16*G10*E6*C25)</f>
        <v>1.6096443965517238E-2</v>
      </c>
      <c r="D55" s="17">
        <f>5*C30*(C7*1000)^4/(384*G10*E6)+D30*1000*(D18*1000)^2*(C7*1000-D18*1000)^2/(3*C7*1000*G10*E6)+E30*1000*(E18*1000)^2*(C7*1000-E18*1000)^2/(3*C7*1000*G10*E6)+F30*1000*(F18*1000)^2*(C7*1000-F18*1000)^2/(3*C7*1000*G10*E6)-(C34+C35)*C30*1000000*(C7*1000)^2/(16*G10*E6*C25)</f>
        <v>8.0818965517241385E-3</v>
      </c>
      <c r="E55" s="17">
        <f>N24*5*C28*(C7*1000)^4/(384*G10*E6)+O24*D28*1000*(D18*1000)^2*(C7*1000-D18*1000)^2/(3*C7*1000*G10*E6)+P24*E28*1000*(E18*1000)^2*(C7*1000-E18*1000)^2/(3*C7*1000*G10*E6)+Q24*F28*1000*(F18*1000)^2*(C7*1000-F18*1000)^2/(3*C7*1000*G10*E6)-N24*(C34+C35)*C28*1000000*(C7*1000)^2/(16*G10*E6*C25)</f>
        <v>1.1319182845552016E-2</v>
      </c>
      <c r="F55" s="17">
        <f>5*C29*(C7*1000)^4/(384*G10*E6)+D29*1000*(D18*1000)^2*(C7*1000-D18*1000)^2/(3*C7*1000*G10*E6)+E29*1000*(E18*1000)^2*(C7*1000-E18*1000)^2/(3*C7*1000*G10*E6)+F29*1000*(F18*1000)^2*(C7*1000-F18*1000)^2/(3*C7*1000*G10*E6)-(C34+C35)*C29*1000000*(C7*1000)^2/(16*G10*E6*C25)</f>
        <v>8.0145474137931043E-3</v>
      </c>
      <c r="J55" s="18"/>
      <c r="K55" s="55"/>
    </row>
    <row r="56" spans="1:11" ht="24.95" customHeight="1" x14ac:dyDescent="0.2">
      <c r="A56" s="66"/>
      <c r="B56" s="59" t="s">
        <v>170</v>
      </c>
      <c r="C56" s="17">
        <f>F55*D53</f>
        <v>1.6029094827586209E-2</v>
      </c>
      <c r="D56" s="17">
        <f>D55*D53</f>
        <v>1.6163793103448277E-2</v>
      </c>
      <c r="E56" s="17">
        <f>F55*D53</f>
        <v>1.6029094827586209E-2</v>
      </c>
      <c r="F56" s="17">
        <f>F55*D53</f>
        <v>1.6029094827586209E-2</v>
      </c>
      <c r="J56" s="18"/>
      <c r="K56" s="55"/>
    </row>
    <row r="57" spans="1:11" ht="24.95" customHeight="1" x14ac:dyDescent="0.2">
      <c r="A57" s="66"/>
      <c r="B57" s="59" t="s">
        <v>171</v>
      </c>
      <c r="C57" s="39">
        <f>C55+C56</f>
        <v>3.2125538793103446E-2</v>
      </c>
      <c r="D57" s="39">
        <f>D55+D56</f>
        <v>2.4245689655172417E-2</v>
      </c>
      <c r="E57" s="39">
        <f>E55+E56</f>
        <v>2.7348277673138223E-2</v>
      </c>
      <c r="F57" s="39">
        <f>F55+F56</f>
        <v>2.4043642241379313E-2</v>
      </c>
      <c r="J57" s="18"/>
      <c r="K57" s="55"/>
    </row>
    <row r="58" spans="1:11" ht="24.95" customHeight="1" thickBot="1" x14ac:dyDescent="0.25">
      <c r="A58" s="66"/>
      <c r="B58" s="60" t="s">
        <v>172</v>
      </c>
      <c r="C58" s="40"/>
      <c r="D58" s="90" t="str">
        <f>"L/"&amp;ABS(FLOOR($C$7*1000/D57,1))</f>
        <v>L/41244</v>
      </c>
      <c r="E58" s="90" t="str">
        <f>"L/"&amp;ABS(FLOOR($C$7*1000/E57,1))</f>
        <v>L/36565</v>
      </c>
      <c r="F58" s="90" t="str">
        <f>"L/"&amp;ABS(FLOOR($C$7*1000/F57,1))</f>
        <v>L/41591</v>
      </c>
      <c r="J58" s="19"/>
      <c r="K58" s="56"/>
    </row>
    <row r="59" spans="1:11" ht="24.95" customHeight="1" thickTop="1" x14ac:dyDescent="0.2">
      <c r="A59" s="66"/>
      <c r="B59" s="108" t="s">
        <v>202</v>
      </c>
      <c r="C59" s="109"/>
      <c r="D59" s="109"/>
      <c r="E59" s="109"/>
      <c r="F59" s="109"/>
      <c r="G59" s="109"/>
      <c r="H59" s="109"/>
      <c r="I59" s="109"/>
      <c r="J59" s="109"/>
      <c r="K59" s="110"/>
    </row>
    <row r="60" spans="1:11" ht="24.95" customHeight="1" x14ac:dyDescent="0.2">
      <c r="A60" s="66"/>
      <c r="B60" s="102" t="s">
        <v>84</v>
      </c>
      <c r="C60" s="102"/>
      <c r="D60" s="102"/>
      <c r="E60" s="130" t="s">
        <v>85</v>
      </c>
      <c r="F60" s="131"/>
      <c r="G60" s="131"/>
      <c r="H60" s="132"/>
      <c r="I60" s="80"/>
      <c r="J60" s="84"/>
      <c r="K60" s="65"/>
    </row>
    <row r="61" spans="1:11" ht="24.95" customHeight="1" x14ac:dyDescent="0.2">
      <c r="A61" s="66"/>
      <c r="B61" s="119" t="s">
        <v>86</v>
      </c>
      <c r="C61" s="103" t="s">
        <v>87</v>
      </c>
      <c r="D61" s="104"/>
      <c r="E61" s="120" t="s">
        <v>86</v>
      </c>
      <c r="F61" s="121"/>
      <c r="G61" s="103" t="s">
        <v>87</v>
      </c>
      <c r="H61" s="103"/>
      <c r="I61" s="18"/>
      <c r="J61" s="18"/>
      <c r="K61" s="55"/>
    </row>
    <row r="62" spans="1:11" ht="24.95" customHeight="1" x14ac:dyDescent="0.2">
      <c r="A62" s="66"/>
      <c r="B62" s="119"/>
      <c r="C62" s="103"/>
      <c r="D62" s="104"/>
      <c r="E62" s="120"/>
      <c r="F62" s="121"/>
      <c r="G62" s="103"/>
      <c r="H62" s="103"/>
      <c r="I62" s="18"/>
      <c r="J62" s="18"/>
      <c r="K62" s="55"/>
    </row>
    <row r="63" spans="1:11" ht="24.95" customHeight="1" x14ac:dyDescent="0.2">
      <c r="A63" s="66"/>
      <c r="B63" s="62" t="s">
        <v>94</v>
      </c>
      <c r="C63" s="99">
        <f>IF(C61="OTRO",K63,IF(C61="MÉNSULA",2*$C$7,IF(C61="ARTICULADO-ARTICULADO",$C$7,IF(C61="ARTICULADO-EMPOTRADO",0.7*$C$7,IF(C61="EMPOTRADO-EMPOTRADO",0.5*$C$7,"")))))</f>
        <v>1</v>
      </c>
      <c r="D63" s="100"/>
      <c r="E63" s="114" t="s">
        <v>214</v>
      </c>
      <c r="F63" s="115"/>
      <c r="G63" s="99">
        <f>IF(G61="OTRO",K64,IF(G61="MÉNSULA",2*$C$7,IF(G61="ARTICULADO-ARTICULADO",$C$7,IF(G61="ARTICULADO-EMPOTRADO",0.7*$C$7,IF(G61="EMPOTRADO-EMPOTRADO",0.5*$C$7,"")))))</f>
        <v>1</v>
      </c>
      <c r="H63" s="99"/>
      <c r="I63" s="18"/>
      <c r="J63" s="35" t="s">
        <v>94</v>
      </c>
      <c r="K63" s="14">
        <v>0</v>
      </c>
    </row>
    <row r="64" spans="1:11" ht="24.95" customHeight="1" x14ac:dyDescent="0.2">
      <c r="A64" s="66"/>
      <c r="B64" s="62" t="s">
        <v>96</v>
      </c>
      <c r="C64" s="99">
        <f>C63*1000/E7</f>
        <v>17.320508075688775</v>
      </c>
      <c r="D64" s="100"/>
      <c r="E64" s="114" t="s">
        <v>97</v>
      </c>
      <c r="F64" s="115"/>
      <c r="G64" s="99">
        <f>G63*1000/E11</f>
        <v>34.641016151377549</v>
      </c>
      <c r="H64" s="99"/>
      <c r="I64" s="18"/>
      <c r="J64" s="35" t="s">
        <v>214</v>
      </c>
      <c r="K64" s="14">
        <v>0</v>
      </c>
    </row>
    <row r="65" spans="1:11" ht="24.95" customHeight="1" x14ac:dyDescent="0.2">
      <c r="A65" s="66"/>
      <c r="B65" s="62" t="s">
        <v>98</v>
      </c>
      <c r="C65" s="99">
        <f>1/(C68+(C68^2-C67^2)^0.5)</f>
        <v>1.0023279089647879</v>
      </c>
      <c r="D65" s="100"/>
      <c r="E65" s="114" t="s">
        <v>99</v>
      </c>
      <c r="F65" s="115"/>
      <c r="G65" s="99">
        <f>1/(G68+(G68^2-G67^2)^0.5)</f>
        <v>0.96459159365778124</v>
      </c>
      <c r="H65" s="99"/>
      <c r="I65" s="18"/>
      <c r="J65" s="18"/>
      <c r="K65" s="55"/>
    </row>
    <row r="66" spans="1:11" ht="24.95" customHeight="1" x14ac:dyDescent="0.2">
      <c r="A66" s="66"/>
      <c r="B66" s="62" t="s">
        <v>142</v>
      </c>
      <c r="C66" s="99">
        <f>PI()^2*G11/C64^2</f>
        <v>309.24760456746645</v>
      </c>
      <c r="D66" s="100"/>
      <c r="E66" s="114" t="s">
        <v>143</v>
      </c>
      <c r="F66" s="115"/>
      <c r="G66" s="99">
        <f>PI()^2*G11/G64^2</f>
        <v>77.311901141866613</v>
      </c>
      <c r="H66" s="99"/>
      <c r="I66" s="18"/>
      <c r="J66" s="18"/>
      <c r="K66" s="55"/>
    </row>
    <row r="67" spans="1:11" ht="24.95" customHeight="1" x14ac:dyDescent="0.2">
      <c r="A67" s="66"/>
      <c r="B67" s="62" t="s">
        <v>100</v>
      </c>
      <c r="C67" s="99">
        <f>(G7/C66)^0.5</f>
        <v>0.27858161305136653</v>
      </c>
      <c r="D67" s="100"/>
      <c r="E67" s="114" t="s">
        <v>101</v>
      </c>
      <c r="F67" s="115"/>
      <c r="G67" s="99">
        <f>(G7/G66)^0.5</f>
        <v>0.55716322610273306</v>
      </c>
      <c r="H67" s="99"/>
      <c r="I67" s="18"/>
      <c r="J67" s="18"/>
      <c r="K67" s="55"/>
    </row>
    <row r="68" spans="1:11" ht="24.95" customHeight="1" x14ac:dyDescent="0.2">
      <c r="A68" s="66"/>
      <c r="B68" s="62" t="s">
        <v>102</v>
      </c>
      <c r="C68" s="99">
        <f>0.5*(1+C69*(C67-0.3)+C67^2)</f>
        <v>0.53773293821771895</v>
      </c>
      <c r="D68" s="100"/>
      <c r="E68" s="114" t="s">
        <v>103</v>
      </c>
      <c r="F68" s="115"/>
      <c r="G68" s="99">
        <f>0.5*(1+G69*(G67-0.3)+G67^2)</f>
        <v>0.6680735915657392</v>
      </c>
      <c r="H68" s="99"/>
      <c r="I68" s="18"/>
      <c r="J68" s="18"/>
      <c r="K68" s="55"/>
    </row>
    <row r="69" spans="1:11" ht="24.95" customHeight="1" thickBot="1" x14ac:dyDescent="0.25">
      <c r="A69" s="66"/>
      <c r="B69" s="61" t="s">
        <v>144</v>
      </c>
      <c r="C69" s="116">
        <f>IF(N4="ASERRADA",0.2,0.1)</f>
        <v>0.1</v>
      </c>
      <c r="D69" s="117"/>
      <c r="E69" s="118" t="s">
        <v>144</v>
      </c>
      <c r="F69" s="118"/>
      <c r="G69" s="116">
        <f>IF(N4="ASERRADA",0.2,0.1)</f>
        <v>0.1</v>
      </c>
      <c r="H69" s="116"/>
      <c r="I69" s="19"/>
      <c r="J69" s="19"/>
      <c r="K69" s="56"/>
    </row>
    <row r="70" spans="1:11" ht="24.95" customHeight="1" thickTop="1" x14ac:dyDescent="0.2">
      <c r="A70" s="66"/>
      <c r="B70" s="105" t="s">
        <v>205</v>
      </c>
      <c r="C70" s="106"/>
      <c r="D70" s="106"/>
      <c r="E70" s="107"/>
      <c r="F70" s="50" t="s">
        <v>217</v>
      </c>
      <c r="G70" s="51">
        <v>0.8</v>
      </c>
      <c r="H70" s="41"/>
      <c r="I70" s="41"/>
      <c r="J70" s="41"/>
      <c r="K70" s="58"/>
    </row>
    <row r="71" spans="1:11" ht="24.95" customHeight="1" x14ac:dyDescent="0.2">
      <c r="A71" s="66"/>
      <c r="B71" s="59" t="s">
        <v>52</v>
      </c>
      <c r="C71" s="43" t="str">
        <f>C4</f>
        <v>GL24h</v>
      </c>
      <c r="D71" s="5" t="s">
        <v>104</v>
      </c>
      <c r="E71" s="16">
        <f>C72*C73</f>
        <v>6422</v>
      </c>
      <c r="F71" s="5" t="s">
        <v>105</v>
      </c>
      <c r="G71" s="17">
        <f>VLOOKUP($C$4,'DATOS MATERIAL'!$A$8:$M$35,2,FALSE)</f>
        <v>24</v>
      </c>
      <c r="H71" s="5" t="s">
        <v>106</v>
      </c>
      <c r="I71" s="17">
        <f>G71*$C$75</f>
        <v>27.599999999999998</v>
      </c>
      <c r="J71" s="18"/>
      <c r="K71" s="55"/>
    </row>
    <row r="72" spans="1:11" ht="24.95" customHeight="1" x14ac:dyDescent="0.2">
      <c r="A72" s="66"/>
      <c r="B72" s="59" t="s">
        <v>82</v>
      </c>
      <c r="C72" s="43">
        <f>IF(C74=1,C5,C5-2*C77)</f>
        <v>38</v>
      </c>
      <c r="D72" s="5" t="s">
        <v>107</v>
      </c>
      <c r="E72" s="16">
        <f>C72*C73^2/6</f>
        <v>180886.33333333334</v>
      </c>
      <c r="F72" s="5" t="s">
        <v>108</v>
      </c>
      <c r="G72" s="17">
        <f>VLOOKUP($C$4,'DATOS MATERIAL'!$A$8:$M$35,3,FALSE)</f>
        <v>16.5</v>
      </c>
      <c r="H72" s="5" t="s">
        <v>109</v>
      </c>
      <c r="I72" s="17">
        <f t="shared" ref="I72:I75" si="3">G72*$C$75</f>
        <v>18.974999999999998</v>
      </c>
      <c r="J72" s="18"/>
      <c r="K72" s="55"/>
    </row>
    <row r="73" spans="1:11" ht="24.95" customHeight="1" x14ac:dyDescent="0.2">
      <c r="A73" s="66"/>
      <c r="B73" s="59" t="s">
        <v>83</v>
      </c>
      <c r="C73" s="43">
        <f>IF(C74=4,C6-2*C77,C6-C77)</f>
        <v>169</v>
      </c>
      <c r="D73" s="5" t="s">
        <v>110</v>
      </c>
      <c r="E73" s="16">
        <f>C72*C73^3/12</f>
        <v>15284895.166666666</v>
      </c>
      <c r="F73" s="5" t="s">
        <v>111</v>
      </c>
      <c r="G73" s="17">
        <f>VLOOKUP($C$4,'DATOS MATERIAL'!$A$8:$M$35,4,FALSE)</f>
        <v>0.4</v>
      </c>
      <c r="H73" s="5" t="s">
        <v>112</v>
      </c>
      <c r="I73" s="17">
        <f t="shared" si="3"/>
        <v>0.45999999999999996</v>
      </c>
      <c r="J73" s="18"/>
      <c r="K73" s="55"/>
    </row>
    <row r="74" spans="1:11" ht="24.95" customHeight="1" x14ac:dyDescent="0.2">
      <c r="A74" s="66"/>
      <c r="B74" s="59" t="s">
        <v>207</v>
      </c>
      <c r="C74" s="6">
        <v>3</v>
      </c>
      <c r="D74" s="5" t="s">
        <v>113</v>
      </c>
      <c r="E74" s="16">
        <f>(E73/E71)^0.5</f>
        <v>48.786097746523374</v>
      </c>
      <c r="F74" s="5" t="s">
        <v>114</v>
      </c>
      <c r="G74" s="17">
        <f>VLOOKUP($C$4,'DATOS MATERIAL'!$A$8:$M$35,5,FALSE)</f>
        <v>24</v>
      </c>
      <c r="H74" s="5" t="s">
        <v>115</v>
      </c>
      <c r="I74" s="17">
        <f t="shared" si="3"/>
        <v>27.599999999999998</v>
      </c>
      <c r="J74" s="18"/>
      <c r="K74" s="55"/>
    </row>
    <row r="75" spans="1:11" ht="24.95" customHeight="1" x14ac:dyDescent="0.2">
      <c r="A75" s="66"/>
      <c r="B75" s="59" t="s">
        <v>206</v>
      </c>
      <c r="C75" s="20">
        <f>IF(N71="ASERRADA",1.25,1.15)</f>
        <v>1.1499999999999999</v>
      </c>
      <c r="D75" s="5" t="s">
        <v>117</v>
      </c>
      <c r="E75" s="16">
        <f>0.67*C72</f>
        <v>25.46</v>
      </c>
      <c r="F75" s="5" t="s">
        <v>118</v>
      </c>
      <c r="G75" s="17">
        <f>VLOOKUP($C$4,'DATOS MATERIAL'!$A$8:$M$35,6,FALSE)</f>
        <v>2.7</v>
      </c>
      <c r="H75" s="5" t="s">
        <v>119</v>
      </c>
      <c r="I75" s="17">
        <f t="shared" si="3"/>
        <v>3.105</v>
      </c>
      <c r="J75" s="18"/>
      <c r="K75" s="55"/>
    </row>
    <row r="76" spans="1:11" ht="24.95" customHeight="1" x14ac:dyDescent="0.2">
      <c r="A76" s="66"/>
      <c r="B76" s="59" t="s">
        <v>208</v>
      </c>
      <c r="C76" s="8">
        <v>30</v>
      </c>
      <c r="D76" s="5" t="s">
        <v>121</v>
      </c>
      <c r="E76" s="16">
        <f>C73*C72^2/6</f>
        <v>40672.666666666664</v>
      </c>
      <c r="F76" s="5" t="s">
        <v>122</v>
      </c>
      <c r="G76" s="17">
        <f>VLOOKUP($C$4,'DATOS MATERIAL'!$A$8:$M$35,7,FALSE)</f>
        <v>2.7</v>
      </c>
      <c r="H76" s="5" t="s">
        <v>123</v>
      </c>
      <c r="I76" s="17">
        <f>G76*$C$75</f>
        <v>3.105</v>
      </c>
      <c r="J76" s="18"/>
      <c r="K76" s="55"/>
    </row>
    <row r="77" spans="1:11" ht="24.95" customHeight="1" x14ac:dyDescent="0.35">
      <c r="A77" s="66"/>
      <c r="B77" s="63" t="s">
        <v>209</v>
      </c>
      <c r="C77" s="42">
        <f>C78+C80*C81</f>
        <v>31</v>
      </c>
      <c r="D77" s="5" t="s">
        <v>125</v>
      </c>
      <c r="E77" s="16">
        <f>C73*C72^3/12</f>
        <v>772780.66666666663</v>
      </c>
      <c r="F77" s="5" t="s">
        <v>126</v>
      </c>
      <c r="G77" s="5">
        <f>VLOOKUP($C$4,'DATOS MATERIAL'!$A$8:$M$35,8,FALSE)</f>
        <v>11600</v>
      </c>
      <c r="H77" s="5" t="s">
        <v>222</v>
      </c>
      <c r="I77" s="17">
        <f t="shared" ref="I77:I80" si="4">G77*$C$75</f>
        <v>13339.999999999998</v>
      </c>
      <c r="J77" s="18"/>
      <c r="K77" s="55"/>
    </row>
    <row r="78" spans="1:11" ht="24.95" customHeight="1" x14ac:dyDescent="0.35">
      <c r="A78" s="66"/>
      <c r="B78" s="63" t="s">
        <v>210</v>
      </c>
      <c r="C78" s="42">
        <f>C79*C76</f>
        <v>24</v>
      </c>
      <c r="D78" s="5" t="s">
        <v>113</v>
      </c>
      <c r="E78" s="16">
        <f>(E77/E71)^0.5</f>
        <v>10.969655114602888</v>
      </c>
      <c r="F78" s="5" t="s">
        <v>127</v>
      </c>
      <c r="G78" s="5">
        <f>VLOOKUP($C$4,'DATOS MATERIAL'!$A$8:$M$35,9,FALSE)</f>
        <v>9400</v>
      </c>
      <c r="H78" s="5" t="s">
        <v>223</v>
      </c>
      <c r="I78" s="17">
        <f t="shared" si="4"/>
        <v>10810</v>
      </c>
      <c r="J78" s="18"/>
      <c r="K78" s="55"/>
    </row>
    <row r="79" spans="1:11" ht="24.95" customHeight="1" x14ac:dyDescent="0.25">
      <c r="A79" s="66"/>
      <c r="B79" s="63" t="s">
        <v>204</v>
      </c>
      <c r="C79" s="42">
        <f>IF(C68="LAMINADA",0.7,0.8)</f>
        <v>0.8</v>
      </c>
      <c r="D79" s="5" t="s">
        <v>129</v>
      </c>
      <c r="E79" s="16">
        <f>0.67*C73</f>
        <v>113.23</v>
      </c>
      <c r="F79" s="5" t="s">
        <v>130</v>
      </c>
      <c r="G79" s="5">
        <f>VLOOKUP($C$4,'DATOS MATERIAL'!$A$8:$M$35,10,FALSE)</f>
        <v>390</v>
      </c>
      <c r="H79" s="5" t="s">
        <v>224</v>
      </c>
      <c r="I79" s="17">
        <f t="shared" si="4"/>
        <v>448.49999999999994</v>
      </c>
      <c r="J79" s="18"/>
      <c r="K79" s="55"/>
    </row>
    <row r="80" spans="1:11" ht="24.95" customHeight="1" x14ac:dyDescent="0.35">
      <c r="A80" s="66"/>
      <c r="B80" s="63" t="s">
        <v>211</v>
      </c>
      <c r="C80" s="86">
        <v>1</v>
      </c>
      <c r="D80" s="5" t="s">
        <v>145</v>
      </c>
      <c r="E80" s="16">
        <f>MAX(0.5*C72,0.5*C73)*(MIN(0.5*C72,0.5*C73))^3*(16/3-3.36*(MIN(0.5*C72,0.5*C73)/MAX(0.5*C72,0.5*C73))*(1-((MIN(0.5*C72,0.5*C73))^4/(12*(MAX(0.5*C72,0.5*C73))^4))))</f>
        <v>2653337.3805381353</v>
      </c>
      <c r="F80" s="5" t="s">
        <v>132</v>
      </c>
      <c r="G80" s="5">
        <f>VLOOKUP($C$4,'DATOS MATERIAL'!$A$8:$M$35,11,FALSE)</f>
        <v>720</v>
      </c>
      <c r="H80" s="5" t="s">
        <v>225</v>
      </c>
      <c r="I80" s="17">
        <f t="shared" si="4"/>
        <v>827.99999999999989</v>
      </c>
      <c r="J80" s="18"/>
      <c r="K80" s="55"/>
    </row>
    <row r="81" spans="1:11" ht="24.95" customHeight="1" thickBot="1" x14ac:dyDescent="0.4">
      <c r="A81" s="66"/>
      <c r="B81" s="64" t="s">
        <v>212</v>
      </c>
      <c r="C81" s="52">
        <v>7</v>
      </c>
      <c r="D81" s="15" t="s">
        <v>173</v>
      </c>
      <c r="E81" s="53">
        <f>MIN(2,1+0.15*MAX(C72:C73)/MIN(C72:C73))</f>
        <v>1.6671052631578946</v>
      </c>
      <c r="F81" s="15" t="s">
        <v>134</v>
      </c>
      <c r="G81" s="15">
        <f>VLOOKUP($C$4,'DATOS MATERIAL'!$A$8:$M$35,12,FALSE)</f>
        <v>380</v>
      </c>
      <c r="H81" s="19"/>
      <c r="I81" s="19"/>
      <c r="J81" s="19"/>
      <c r="K81" s="56"/>
    </row>
    <row r="82" spans="1:11" ht="24.95" customHeight="1" thickTop="1" x14ac:dyDescent="0.2">
      <c r="A82" s="66"/>
      <c r="B82" s="72" t="s">
        <v>215</v>
      </c>
      <c r="C82" s="72"/>
      <c r="D82" s="72"/>
      <c r="E82" s="72"/>
      <c r="F82" s="72" t="s">
        <v>185</v>
      </c>
      <c r="G82" s="72"/>
      <c r="H82" s="72" t="s">
        <v>216</v>
      </c>
      <c r="I82" s="72"/>
      <c r="J82" s="72" t="s">
        <v>185</v>
      </c>
      <c r="K82" s="73"/>
    </row>
    <row r="83" spans="1:11" ht="24.95" customHeight="1" x14ac:dyDescent="0.2">
      <c r="A83" s="66"/>
      <c r="B83" s="126" t="str">
        <f>B38</f>
        <v>NEd-COMPRESIÓN (kN)</v>
      </c>
      <c r="C83" s="127">
        <f>$G$70*C38</f>
        <v>0</v>
      </c>
      <c r="D83" s="5" t="str">
        <f>IF(B83="Ned-TRACCIÓN (kN)","Nt,Rd","NRdz")</f>
        <v>NRdz</v>
      </c>
      <c r="E83" s="31">
        <f>IF(B83="Ned-TRACCIÓN (kN)",E71*I72/1000,E71*I74/1000*C103)</f>
        <v>177.10188294126942</v>
      </c>
      <c r="F83" s="5"/>
      <c r="G83" s="5" t="str">
        <f>IF(E83&gt;=C83,"CUMPLE","NO CUMPLE")</f>
        <v>CUMPLE</v>
      </c>
      <c r="H83" s="101" t="s">
        <v>190</v>
      </c>
      <c r="I83" s="101"/>
      <c r="J83" s="20">
        <f>MAX(0.7*C85/E85+C86/E86,C85/E85+0.7*C86/E86)</f>
        <v>3.6907636046882519E-2</v>
      </c>
      <c r="K83" s="5" t="str">
        <f>IF(J83&lt;=1,"CUMPLE","NO CUMPLE")</f>
        <v>CUMPLE</v>
      </c>
    </row>
    <row r="84" spans="1:11" ht="24.95" customHeight="1" x14ac:dyDescent="0.2">
      <c r="A84" s="66"/>
      <c r="B84" s="126"/>
      <c r="C84" s="127"/>
      <c r="D84" s="5" t="str">
        <f>IF(B83="Ned-TRACCIÓN (kN)","","NRdy")</f>
        <v>NRdy</v>
      </c>
      <c r="E84" s="31">
        <f>IF(B83="Ned-TRACCIÓN (kN)","",E71*I74/1000*G103)</f>
        <v>85.405452635810221</v>
      </c>
      <c r="F84" s="5"/>
      <c r="G84" s="5" t="str">
        <f>IF(B83="Ned-TRACCIÓN (kN)","",IF(E84&gt;=C83,"CUMPLE","NO CUMPLE"))</f>
        <v>CUMPLE</v>
      </c>
      <c r="H84" s="101" t="s">
        <v>192</v>
      </c>
      <c r="I84" s="101"/>
      <c r="J84" s="20">
        <f>IF(B83="Ned-COMPRESIÓN (kN)",MAX((C83/MIN(E83:E84))+0.7*C85/E85+C86/E86,(C83/MIN(E83:E84))+C85/E85+0.7*C86/E86),MAX(C83/E83+0.7*C85/E85+C86/E86,C83/E83+C85/E85+0.7*C86/E86))</f>
        <v>3.6907636046882519E-2</v>
      </c>
      <c r="K84" s="5" t="str">
        <f>IF(J84&lt;=1,"CUMPLE","NO CUMPLE")</f>
        <v>CUMPLE</v>
      </c>
    </row>
    <row r="85" spans="1:11" ht="24.95" customHeight="1" x14ac:dyDescent="0.2">
      <c r="A85" s="66"/>
      <c r="B85" s="59" t="s">
        <v>90</v>
      </c>
      <c r="C85" s="17">
        <f>$G$70*C40</f>
        <v>0.18426000000000003</v>
      </c>
      <c r="D85" s="5" t="s">
        <v>138</v>
      </c>
      <c r="E85" s="31">
        <f>IF(C95="SÍ",G95,E72*I71/1000000)</f>
        <v>4.9924628000000002</v>
      </c>
      <c r="F85" s="20">
        <f>C85/E85</f>
        <v>3.6907636046882519E-2</v>
      </c>
      <c r="G85" s="5" t="str">
        <f t="shared" ref="G85:G91" si="5">IF(E85&gt;=C85,"CUMPLE","NO CUMPLE")</f>
        <v>CUMPLE</v>
      </c>
      <c r="H85" s="101" t="s">
        <v>191</v>
      </c>
      <c r="I85" s="101"/>
      <c r="J85" s="20">
        <f>IF(B83="Ned-COMPRESIÓN (kN)",MAX(((C83*1000/(C72*C73))/I74)^2+0.7*C85/E85+C86/E86,((C83*1000/(C72*C73))/I74)^2+C85/E85+0.7*C86/E86),MAX((C83*1000/(C72*C73))/I74+0.7*C85/E85+C86/E86,(C83*1000/(C72*C73))/I74+C85/E85+0.7*C86/E86))</f>
        <v>3.6907636046882519E-2</v>
      </c>
      <c r="K85" s="5" t="str">
        <f t="shared" ref="K85:K86" si="6">IF(J85&lt;=1,"CUMPLE","NO CUMPLE")</f>
        <v>CUMPLE</v>
      </c>
    </row>
    <row r="86" spans="1:11" ht="24.95" customHeight="1" x14ac:dyDescent="0.2">
      <c r="A86" s="66"/>
      <c r="B86" s="59" t="s">
        <v>91</v>
      </c>
      <c r="C86" s="17">
        <f t="shared" ref="C86:C90" si="7">$G$70*C41</f>
        <v>0</v>
      </c>
      <c r="D86" s="5" t="s">
        <v>139</v>
      </c>
      <c r="E86" s="31">
        <f>E76*I71/1000000</f>
        <v>1.1225655999999999</v>
      </c>
      <c r="F86" s="20">
        <f t="shared" ref="F86:F91" si="8">C86/E86</f>
        <v>0</v>
      </c>
      <c r="G86" s="5" t="str">
        <f t="shared" si="5"/>
        <v>CUMPLE</v>
      </c>
      <c r="H86" s="101" t="s">
        <v>201</v>
      </c>
      <c r="I86" s="101"/>
      <c r="J86" s="20">
        <f>C90/E90+C87/E87+C88/E88</f>
        <v>8.2339750559615149E-2</v>
      </c>
      <c r="K86" s="5" t="str">
        <f t="shared" si="6"/>
        <v>CUMPLE</v>
      </c>
    </row>
    <row r="87" spans="1:11" ht="24.95" customHeight="1" x14ac:dyDescent="0.2">
      <c r="A87" s="66"/>
      <c r="B87" s="59" t="s">
        <v>92</v>
      </c>
      <c r="C87" s="17">
        <f t="shared" si="7"/>
        <v>0.73704000000000014</v>
      </c>
      <c r="D87" s="5" t="s">
        <v>140</v>
      </c>
      <c r="E87" s="31">
        <f>E75*C73*0.67*I76/1000</f>
        <v>8.9512051589999988</v>
      </c>
      <c r="F87" s="20">
        <f t="shared" si="8"/>
        <v>8.2339750559615149E-2</v>
      </c>
      <c r="G87" s="5" t="str">
        <f t="shared" si="5"/>
        <v>CUMPLE</v>
      </c>
      <c r="H87" s="101" t="s">
        <v>187</v>
      </c>
      <c r="I87" s="101"/>
      <c r="J87" s="20">
        <f>(J88*1000/(C72*C73/SIN(J89*PI()/180)))*(I74*(SIN(J89*PI()/180)^2/I75+COS(J89*PI()/180)^2))/I74</f>
        <v>0</v>
      </c>
      <c r="K87" s="5" t="str">
        <f>IF(J87&lt;=1,"CUMPLE","NO CUMPLE")</f>
        <v>CUMPLE</v>
      </c>
    </row>
    <row r="88" spans="1:11" ht="24.95" customHeight="1" x14ac:dyDescent="0.2">
      <c r="A88" s="66"/>
      <c r="B88" s="59" t="s">
        <v>93</v>
      </c>
      <c r="C88" s="17">
        <f t="shared" si="7"/>
        <v>0</v>
      </c>
      <c r="D88" s="5" t="s">
        <v>141</v>
      </c>
      <c r="E88" s="31">
        <f>E79*C72*0.67*I76/1000</f>
        <v>8.9512051589999988</v>
      </c>
      <c r="F88" s="20">
        <f t="shared" si="8"/>
        <v>0</v>
      </c>
      <c r="G88" s="5" t="str">
        <f t="shared" si="5"/>
        <v>CUMPLE</v>
      </c>
      <c r="H88" s="101" t="s">
        <v>189</v>
      </c>
      <c r="I88" s="101"/>
      <c r="J88" s="5">
        <f>G70*J43</f>
        <v>0</v>
      </c>
      <c r="K88" s="55"/>
    </row>
    <row r="89" spans="1:11" ht="24.95" customHeight="1" x14ac:dyDescent="0.2">
      <c r="A89" s="66"/>
      <c r="B89" s="59" t="s">
        <v>174</v>
      </c>
      <c r="C89" s="17">
        <f t="shared" si="7"/>
        <v>0</v>
      </c>
      <c r="D89" s="5" t="s">
        <v>175</v>
      </c>
      <c r="E89" s="31">
        <f>E80*I76*E81/1000000</f>
        <v>13.734634370849134</v>
      </c>
      <c r="F89" s="20">
        <f t="shared" si="8"/>
        <v>0</v>
      </c>
      <c r="G89" s="5" t="str">
        <f t="shared" si="5"/>
        <v>CUMPLE</v>
      </c>
      <c r="H89" s="101" t="s">
        <v>188</v>
      </c>
      <c r="I89" s="101"/>
      <c r="J89" s="32">
        <f>J44</f>
        <v>0.1</v>
      </c>
      <c r="K89" s="55"/>
    </row>
    <row r="90" spans="1:11" ht="24.95" customHeight="1" x14ac:dyDescent="0.2">
      <c r="A90" s="66"/>
      <c r="B90" s="59" t="s">
        <v>235</v>
      </c>
      <c r="C90" s="17">
        <f t="shared" si="7"/>
        <v>0</v>
      </c>
      <c r="D90" s="5" t="s">
        <v>218</v>
      </c>
      <c r="E90" s="31">
        <f>C72*C11*I73/1000</f>
        <v>3.4959999999999996</v>
      </c>
      <c r="F90" s="20">
        <f t="shared" si="8"/>
        <v>0</v>
      </c>
      <c r="G90" s="5" t="str">
        <f t="shared" si="5"/>
        <v>CUMPLE</v>
      </c>
      <c r="H90" s="18"/>
      <c r="I90" s="18"/>
      <c r="J90" s="18"/>
      <c r="K90" s="55"/>
    </row>
    <row r="91" spans="1:11" ht="24.95" customHeight="1" x14ac:dyDescent="0.2">
      <c r="A91" s="66"/>
      <c r="B91" s="59" t="s">
        <v>236</v>
      </c>
      <c r="C91" s="17">
        <f>$G$70*C46</f>
        <v>0</v>
      </c>
      <c r="D91" s="5" t="s">
        <v>219</v>
      </c>
      <c r="E91" s="31">
        <f>E93*D94*I75/1000</f>
        <v>22.713075</v>
      </c>
      <c r="F91" s="20">
        <f t="shared" si="8"/>
        <v>0</v>
      </c>
      <c r="G91" s="5" t="str">
        <f t="shared" si="5"/>
        <v>CUMPLE</v>
      </c>
      <c r="H91" s="18"/>
      <c r="I91" s="18"/>
      <c r="J91" s="18"/>
      <c r="K91" s="55"/>
    </row>
    <row r="92" spans="1:11" ht="24.95" customHeight="1" x14ac:dyDescent="0.2">
      <c r="A92" s="66"/>
      <c r="B92" s="59" t="s">
        <v>177</v>
      </c>
      <c r="C92" s="32">
        <f>C47</f>
        <v>50</v>
      </c>
      <c r="D92" s="5" t="s">
        <v>180</v>
      </c>
      <c r="E92" s="32">
        <f>E47</f>
        <v>110</v>
      </c>
      <c r="F92" s="18"/>
      <c r="G92" s="18"/>
      <c r="H92" s="18"/>
      <c r="I92" s="18"/>
      <c r="J92" s="18"/>
      <c r="K92" s="55"/>
    </row>
    <row r="93" spans="1:11" ht="24.95" customHeight="1" x14ac:dyDescent="0.2">
      <c r="A93" s="66"/>
      <c r="B93" s="59" t="s">
        <v>178</v>
      </c>
      <c r="C93" s="32">
        <f t="shared" ref="C93:C96" si="9">C48</f>
        <v>500</v>
      </c>
      <c r="D93" s="5" t="s">
        <v>179</v>
      </c>
      <c r="E93" s="32">
        <f>E92*C72</f>
        <v>4180</v>
      </c>
      <c r="F93" s="18"/>
      <c r="G93" s="18"/>
      <c r="H93" s="18"/>
      <c r="I93" s="18"/>
      <c r="J93" s="18"/>
      <c r="K93" s="55"/>
    </row>
    <row r="94" spans="1:11" ht="24.95" customHeight="1" thickBot="1" x14ac:dyDescent="0.25">
      <c r="A94" s="66"/>
      <c r="B94" s="65" t="s">
        <v>181</v>
      </c>
      <c r="C94" s="32" t="str">
        <f t="shared" si="9"/>
        <v>SOBRE APOYOS</v>
      </c>
      <c r="D94" s="5">
        <f>D49</f>
        <v>1.75</v>
      </c>
      <c r="E94" s="17"/>
      <c r="F94" s="19"/>
      <c r="G94" s="19"/>
      <c r="H94" s="19"/>
      <c r="I94" s="19"/>
      <c r="J94" s="19"/>
      <c r="K94" s="56"/>
    </row>
    <row r="95" spans="1:11" ht="24.95" customHeight="1" thickTop="1" x14ac:dyDescent="0.2">
      <c r="A95" s="66"/>
      <c r="B95" s="74" t="s">
        <v>88</v>
      </c>
      <c r="C95" s="12" t="s">
        <v>89</v>
      </c>
      <c r="D95" s="33" t="s">
        <v>142</v>
      </c>
      <c r="E95" s="34">
        <f>PI()*(I78*MIN(E73,E77)*I80*E80)^0.5/(C96*C7*1000*MAX(E72,E76))</f>
        <v>74.404036055764564</v>
      </c>
      <c r="F95" s="35" t="s">
        <v>220</v>
      </c>
      <c r="G95" s="17">
        <f>E72*I71*G96/1000000</f>
        <v>4.9924628000000002</v>
      </c>
      <c r="H95" s="18"/>
      <c r="I95" s="18"/>
      <c r="J95" s="18"/>
      <c r="K95" s="55"/>
    </row>
    <row r="96" spans="1:11" ht="24.95" customHeight="1" x14ac:dyDescent="0.2">
      <c r="A96" s="66"/>
      <c r="B96" s="67" t="s">
        <v>146</v>
      </c>
      <c r="C96" s="87">
        <f t="shared" si="9"/>
        <v>1</v>
      </c>
      <c r="D96" s="68" t="s">
        <v>147</v>
      </c>
      <c r="E96" s="69">
        <f>(G71/E95)^0.5</f>
        <v>0.56794642945960705</v>
      </c>
      <c r="F96" s="70" t="s">
        <v>148</v>
      </c>
      <c r="G96" s="71">
        <f>MIN(1,IF(E96&lt;=1.4,1.56-0.75*E96,1/E96^2))</f>
        <v>1</v>
      </c>
      <c r="H96" s="18"/>
      <c r="I96" s="18"/>
      <c r="J96" s="18"/>
      <c r="K96" s="55"/>
    </row>
    <row r="97" spans="1:11" ht="24.95" customHeight="1" x14ac:dyDescent="0.2">
      <c r="A97" s="66"/>
      <c r="B97" s="76" t="s">
        <v>202</v>
      </c>
      <c r="C97" s="77"/>
      <c r="D97" s="77"/>
      <c r="E97" s="77"/>
      <c r="F97" s="77"/>
      <c r="G97" s="77"/>
      <c r="H97" s="77"/>
      <c r="I97" s="77"/>
      <c r="J97" s="77"/>
      <c r="K97" s="78"/>
    </row>
    <row r="98" spans="1:11" ht="24.95" customHeight="1" x14ac:dyDescent="0.2">
      <c r="A98" s="66"/>
      <c r="B98" s="122" t="s">
        <v>84</v>
      </c>
      <c r="C98" s="123"/>
      <c r="D98" s="123"/>
      <c r="E98" s="124" t="s">
        <v>85</v>
      </c>
      <c r="F98" s="125"/>
      <c r="G98" s="125"/>
      <c r="H98" s="125"/>
      <c r="I98" s="38"/>
      <c r="J98" s="18"/>
      <c r="K98" s="55"/>
    </row>
    <row r="99" spans="1:11" ht="24.95" customHeight="1" x14ac:dyDescent="0.2">
      <c r="A99" s="66"/>
      <c r="B99" s="119" t="s">
        <v>86</v>
      </c>
      <c r="C99" s="103" t="s">
        <v>87</v>
      </c>
      <c r="D99" s="104"/>
      <c r="E99" s="120" t="s">
        <v>86</v>
      </c>
      <c r="F99" s="121"/>
      <c r="G99" s="103" t="s">
        <v>87</v>
      </c>
      <c r="H99" s="103"/>
      <c r="I99" s="18"/>
      <c r="J99" s="18"/>
      <c r="K99" s="55"/>
    </row>
    <row r="100" spans="1:11" ht="24.95" customHeight="1" x14ac:dyDescent="0.2">
      <c r="A100" s="66"/>
      <c r="B100" s="119"/>
      <c r="C100" s="103"/>
      <c r="D100" s="104"/>
      <c r="E100" s="120"/>
      <c r="F100" s="121"/>
      <c r="G100" s="103"/>
      <c r="H100" s="103"/>
      <c r="I100" s="18"/>
      <c r="J100" s="18"/>
      <c r="K100" s="55"/>
    </row>
    <row r="101" spans="1:11" ht="24.95" customHeight="1" x14ac:dyDescent="0.2">
      <c r="A101" s="66"/>
      <c r="B101" s="62" t="s">
        <v>94</v>
      </c>
      <c r="C101" s="99">
        <f>IF(C99="OTRO",K101,IF(C99="MÉNSULA",2*$C$7,IF(C99="ARTICULADO-ARTICULADO",$C$7,IF(C99="ARTICULADO-EMPOTRADO",0.7*$C$7,IF(C99="EMPOTRADO-EMPOTRADO",0.5*$C$7,"")))))</f>
        <v>1</v>
      </c>
      <c r="D101" s="100"/>
      <c r="E101" s="114" t="s">
        <v>95</v>
      </c>
      <c r="F101" s="115"/>
      <c r="G101" s="99">
        <f>IF(G99="OTRO",K102,IF(G99="MÉNSULA",2*$C$7,IF(G99="ARTICULADO-ARTICULADO",$C$7,IF(G99="ARTICULADO-EMPOTRADO",0.7*$C$7,IF(G99="EMPOTRADO-EMPOTRADO",0.5*$C$7,"")))))</f>
        <v>1</v>
      </c>
      <c r="H101" s="99"/>
      <c r="I101" s="18"/>
      <c r="J101" s="35" t="s">
        <v>94</v>
      </c>
      <c r="K101" s="14">
        <v>0</v>
      </c>
    </row>
    <row r="102" spans="1:11" ht="24.95" customHeight="1" x14ac:dyDescent="0.2">
      <c r="A102" s="66"/>
      <c r="B102" s="62" t="s">
        <v>96</v>
      </c>
      <c r="C102" s="99">
        <f>C101*1000/E74</f>
        <v>20.49764269312281</v>
      </c>
      <c r="D102" s="100"/>
      <c r="E102" s="114" t="s">
        <v>97</v>
      </c>
      <c r="F102" s="115"/>
      <c r="G102" s="99">
        <f>G101*1000/E78</f>
        <v>91.160568819414607</v>
      </c>
      <c r="H102" s="99"/>
      <c r="I102" s="18"/>
      <c r="J102" s="35" t="s">
        <v>214</v>
      </c>
      <c r="K102" s="14">
        <v>0</v>
      </c>
    </row>
    <row r="103" spans="1:11" ht="24.95" customHeight="1" x14ac:dyDescent="0.2">
      <c r="A103" s="66"/>
      <c r="B103" s="62" t="s">
        <v>98</v>
      </c>
      <c r="C103" s="99">
        <f>1/(C106+(C106^2-C105^2)^0.5)</f>
        <v>0.99918014468645733</v>
      </c>
      <c r="D103" s="100"/>
      <c r="E103" s="114" t="s">
        <v>99</v>
      </c>
      <c r="F103" s="115"/>
      <c r="G103" s="99">
        <f>1/(G106+(G106^2-G105^2)^0.5)</f>
        <v>0.48184373369965916</v>
      </c>
      <c r="H103" s="99"/>
      <c r="I103" s="18"/>
      <c r="J103" s="18"/>
      <c r="K103" s="55"/>
    </row>
    <row r="104" spans="1:11" ht="24.95" customHeight="1" x14ac:dyDescent="0.2">
      <c r="A104" s="66"/>
      <c r="B104" s="62" t="s">
        <v>142</v>
      </c>
      <c r="C104" s="99">
        <f>PI()^2*I78/C102^2</f>
        <v>253.93209897897808</v>
      </c>
      <c r="D104" s="100"/>
      <c r="E104" s="114" t="s">
        <v>143</v>
      </c>
      <c r="F104" s="115"/>
      <c r="G104" s="99">
        <f>PI()^2*I78/G102^2</f>
        <v>12.83841430361837</v>
      </c>
      <c r="H104" s="99"/>
      <c r="I104" s="18"/>
      <c r="J104" s="18"/>
      <c r="K104" s="55"/>
    </row>
    <row r="105" spans="1:11" ht="24.95" customHeight="1" x14ac:dyDescent="0.2">
      <c r="A105" s="66"/>
      <c r="B105" s="62" t="s">
        <v>100</v>
      </c>
      <c r="C105" s="99">
        <f>(G74/C104)^0.5</f>
        <v>0.30743040669555238</v>
      </c>
      <c r="D105" s="100"/>
      <c r="E105" s="114" t="s">
        <v>101</v>
      </c>
      <c r="F105" s="115"/>
      <c r="G105" s="99">
        <f>(G74/G104)^0.5</f>
        <v>1.3672562824091674</v>
      </c>
      <c r="H105" s="99"/>
      <c r="I105" s="18"/>
      <c r="J105" s="18"/>
      <c r="K105" s="55"/>
    </row>
    <row r="106" spans="1:11" ht="24.95" customHeight="1" x14ac:dyDescent="0.2">
      <c r="A106" s="66"/>
      <c r="B106" s="62" t="s">
        <v>102</v>
      </c>
      <c r="C106" s="99">
        <f>0.5*(1+C107*(C105-0.3)+C105^2)</f>
        <v>0.54762824781527397</v>
      </c>
      <c r="D106" s="100"/>
      <c r="E106" s="114" t="s">
        <v>103</v>
      </c>
      <c r="F106" s="115"/>
      <c r="G106" s="99">
        <f>0.5*(1+G107*(G105-0.3)+G105^2)</f>
        <v>1.4880576850141267</v>
      </c>
      <c r="H106" s="99"/>
      <c r="I106" s="18"/>
      <c r="J106" s="18"/>
      <c r="K106" s="55"/>
    </row>
    <row r="107" spans="1:11" ht="24.95" customHeight="1" thickBot="1" x14ac:dyDescent="0.25">
      <c r="A107" s="66"/>
      <c r="B107" s="61" t="s">
        <v>144</v>
      </c>
      <c r="C107" s="116">
        <f>IF(N4="ASERRADA",0.2,0.1)</f>
        <v>0.1</v>
      </c>
      <c r="D107" s="117"/>
      <c r="E107" s="118" t="s">
        <v>144</v>
      </c>
      <c r="F107" s="118"/>
      <c r="G107" s="116">
        <f>IF(N4="ASERRADA",0.2,0.1)</f>
        <v>0.1</v>
      </c>
      <c r="H107" s="116"/>
      <c r="I107" s="19"/>
      <c r="J107" s="19"/>
      <c r="K107" s="56"/>
    </row>
    <row r="108" spans="1:11" ht="24.95" customHeight="1" thickTop="1" x14ac:dyDescent="0.2">
      <c r="A108" s="66"/>
      <c r="B108" s="72" t="s">
        <v>160</v>
      </c>
      <c r="C108" s="79"/>
      <c r="D108" s="72"/>
      <c r="E108" s="72"/>
      <c r="F108" s="79"/>
      <c r="G108" s="79"/>
      <c r="H108" s="79"/>
      <c r="I108" s="79"/>
      <c r="J108" s="79"/>
      <c r="K108" s="74"/>
    </row>
    <row r="109" spans="1:11" ht="24.95" customHeight="1" x14ac:dyDescent="0.2">
      <c r="A109" s="66"/>
      <c r="B109" s="59" t="s">
        <v>203</v>
      </c>
      <c r="C109" s="35" t="s">
        <v>221</v>
      </c>
      <c r="D109" s="80"/>
      <c r="E109" s="84"/>
      <c r="F109" s="18"/>
      <c r="G109" s="18"/>
      <c r="H109" s="18"/>
      <c r="I109" s="18"/>
      <c r="J109" s="18"/>
      <c r="K109" s="55"/>
    </row>
    <row r="110" spans="1:11" ht="24.95" customHeight="1" x14ac:dyDescent="0.2">
      <c r="A110" s="66"/>
      <c r="B110" s="59" t="s">
        <v>169</v>
      </c>
      <c r="C110" s="17">
        <f>5*C29*(C7*1000)^4/(384*I77*E73)+D29*1000*(D18*1000)^2*(C7*1000-D18*1000)^2/(3*C7*1000*I77*E73)+E29*1000*(E18*1000)^2*(C7*1000-E18*1000)^2/(3*C7*1000*I77*E73)+F29*1000*(F18*1000)^2*(C7*1000-F18*1000)^2/(3*C7*1000*I77*E73)-(C34*G70+C35*G70)*C29*1000000*(C7*1000)^2/(16*I77*E73*C25)</f>
        <v>3.0396770093071158E-2</v>
      </c>
      <c r="D110" s="82"/>
      <c r="E110" s="82"/>
      <c r="F110" s="18"/>
      <c r="G110" s="18"/>
      <c r="H110" s="18"/>
      <c r="I110" s="18"/>
      <c r="J110" s="18"/>
      <c r="K110" s="55"/>
    </row>
    <row r="111" spans="1:11" ht="24.95" customHeight="1" x14ac:dyDescent="0.2">
      <c r="A111" s="66"/>
      <c r="B111" s="59" t="s">
        <v>170</v>
      </c>
      <c r="C111" s="17">
        <v>0</v>
      </c>
      <c r="D111" s="82"/>
      <c r="E111" s="82"/>
      <c r="F111" s="18"/>
      <c r="G111" s="18"/>
      <c r="H111" s="18"/>
      <c r="I111" s="18"/>
      <c r="J111" s="18"/>
      <c r="K111" s="55"/>
    </row>
    <row r="112" spans="1:11" ht="24.95" customHeight="1" x14ac:dyDescent="0.2">
      <c r="A112" s="66"/>
      <c r="B112" s="59" t="s">
        <v>171</v>
      </c>
      <c r="C112" s="39">
        <f>C110+C111</f>
        <v>3.0396770093071158E-2</v>
      </c>
      <c r="D112" s="83"/>
      <c r="E112" s="83"/>
      <c r="F112" s="18"/>
      <c r="G112" s="18"/>
      <c r="H112" s="18"/>
      <c r="I112" s="18"/>
      <c r="J112" s="18"/>
      <c r="K112" s="55"/>
    </row>
    <row r="113" spans="1:11" ht="24.95" customHeight="1" thickBot="1" x14ac:dyDescent="0.25">
      <c r="A113" s="66"/>
      <c r="B113" s="60" t="s">
        <v>172</v>
      </c>
      <c r="C113" s="40" t="str">
        <f>"L/"&amp;ABS(FLOOR($C$7*1000/C112,1))</f>
        <v>L/32898</v>
      </c>
      <c r="D113" s="81"/>
      <c r="E113" s="85"/>
      <c r="F113" s="19"/>
      <c r="G113" s="19"/>
      <c r="H113" s="19"/>
      <c r="I113" s="19"/>
      <c r="J113" s="19"/>
      <c r="K113" s="56"/>
    </row>
    <row r="114" spans="1:11" ht="24.95" customHeight="1" thickTop="1" x14ac:dyDescent="0.2"/>
  </sheetData>
  <sheetProtection sheet="1" selectLockedCells="1"/>
  <mergeCells count="86">
    <mergeCell ref="B2:K2"/>
    <mergeCell ref="E61:F62"/>
    <mergeCell ref="E63:F63"/>
    <mergeCell ref="E64:F64"/>
    <mergeCell ref="E65:F65"/>
    <mergeCell ref="E60:H60"/>
    <mergeCell ref="B18:C18"/>
    <mergeCell ref="G17:G18"/>
    <mergeCell ref="H17:H18"/>
    <mergeCell ref="I17:I18"/>
    <mergeCell ref="J17:J18"/>
    <mergeCell ref="K17:K18"/>
    <mergeCell ref="H41:I41"/>
    <mergeCell ref="H14:J14"/>
    <mergeCell ref="E53:F53"/>
    <mergeCell ref="B61:B62"/>
    <mergeCell ref="H83:I83"/>
    <mergeCell ref="H84:I84"/>
    <mergeCell ref="B83:B84"/>
    <mergeCell ref="C83:C84"/>
    <mergeCell ref="E66:F66"/>
    <mergeCell ref="E67:F67"/>
    <mergeCell ref="E68:F68"/>
    <mergeCell ref="E69:F69"/>
    <mergeCell ref="G66:H66"/>
    <mergeCell ref="G67:H67"/>
    <mergeCell ref="G68:H68"/>
    <mergeCell ref="G69:H69"/>
    <mergeCell ref="C66:D66"/>
    <mergeCell ref="C68:D68"/>
    <mergeCell ref="C69:D69"/>
    <mergeCell ref="B70:E70"/>
    <mergeCell ref="H85:I85"/>
    <mergeCell ref="B98:D98"/>
    <mergeCell ref="E98:H98"/>
    <mergeCell ref="H89:I89"/>
    <mergeCell ref="H86:I86"/>
    <mergeCell ref="H87:I87"/>
    <mergeCell ref="H88:I88"/>
    <mergeCell ref="C103:D103"/>
    <mergeCell ref="E103:F103"/>
    <mergeCell ref="G103:H103"/>
    <mergeCell ref="B99:B100"/>
    <mergeCell ref="C99:D100"/>
    <mergeCell ref="E99:F100"/>
    <mergeCell ref="G99:H100"/>
    <mergeCell ref="C101:D101"/>
    <mergeCell ref="E101:F101"/>
    <mergeCell ref="G101:H101"/>
    <mergeCell ref="C102:D102"/>
    <mergeCell ref="E102:F102"/>
    <mergeCell ref="G102:H102"/>
    <mergeCell ref="C106:D106"/>
    <mergeCell ref="E106:F106"/>
    <mergeCell ref="G106:H106"/>
    <mergeCell ref="C107:D107"/>
    <mergeCell ref="E107:F107"/>
    <mergeCell ref="G107:H107"/>
    <mergeCell ref="C104:D104"/>
    <mergeCell ref="E104:F104"/>
    <mergeCell ref="G104:H104"/>
    <mergeCell ref="C105:D105"/>
    <mergeCell ref="E105:F105"/>
    <mergeCell ref="G105:H105"/>
    <mergeCell ref="B3:K3"/>
    <mergeCell ref="B16:K16"/>
    <mergeCell ref="B33:K33"/>
    <mergeCell ref="B52:K52"/>
    <mergeCell ref="B59:K59"/>
    <mergeCell ref="H42:I42"/>
    <mergeCell ref="H43:I43"/>
    <mergeCell ref="H30:K30"/>
    <mergeCell ref="C67:D67"/>
    <mergeCell ref="H44:I44"/>
    <mergeCell ref="G64:H64"/>
    <mergeCell ref="G65:H65"/>
    <mergeCell ref="H38:I38"/>
    <mergeCell ref="H39:I39"/>
    <mergeCell ref="H40:I40"/>
    <mergeCell ref="C64:D64"/>
    <mergeCell ref="B60:D60"/>
    <mergeCell ref="C65:D65"/>
    <mergeCell ref="C61:D62"/>
    <mergeCell ref="C63:D63"/>
    <mergeCell ref="G61:H62"/>
    <mergeCell ref="G63:H63"/>
  </mergeCells>
  <conditionalFormatting sqref="C61">
    <cfRule type="expression" priority="35" stopIfTrue="1">
      <formula>"(B12="""";""COACCIONES EN EXTREMOS"";"""")"</formula>
    </cfRule>
  </conditionalFormatting>
  <conditionalFormatting sqref="C99">
    <cfRule type="expression" priority="18" stopIfTrue="1">
      <formula>"(B12="""";""COACCIONES EN EXTREMOS"";"""")"</formula>
    </cfRule>
  </conditionalFormatting>
  <conditionalFormatting sqref="D58">
    <cfRule type="expression" dxfId="13" priority="1">
      <formula>ABS(C7*1000/$D$57)&gt;=$H$53</formula>
    </cfRule>
    <cfRule type="expression" dxfId="12" priority="2">
      <formula>ABS(C7/$D$57)&lt;$H$53</formula>
    </cfRule>
  </conditionalFormatting>
  <conditionalFormatting sqref="E58">
    <cfRule type="expression" dxfId="11" priority="3">
      <formula>ABS(C7*1000/$E$57)&gt;350</formula>
    </cfRule>
    <cfRule type="expression" dxfId="10" priority="4">
      <formula>ABS(C7*1000/$E$57)&lt;350</formula>
    </cfRule>
  </conditionalFormatting>
  <conditionalFormatting sqref="F58">
    <cfRule type="expression" dxfId="9" priority="5">
      <formula>ABS(C7*1000/$F$57)&gt;=300</formula>
    </cfRule>
    <cfRule type="expression" dxfId="8" priority="6">
      <formula>ABS(C7*1000/$F$57)&lt;=300</formula>
    </cfRule>
  </conditionalFormatting>
  <conditionalFormatting sqref="G38:G46">
    <cfRule type="containsText" dxfId="7" priority="30" operator="containsText" text="NO CUMPLE">
      <formula>NOT(ISERROR(SEARCH("NO CUMPLE",G38)))</formula>
    </cfRule>
    <cfRule type="containsText" dxfId="6" priority="31" operator="containsText" text="CUMPLE">
      <formula>NOT(ISERROR(SEARCH("CUMPLE",G38)))</formula>
    </cfRule>
  </conditionalFormatting>
  <conditionalFormatting sqref="G61">
    <cfRule type="expression" priority="34" stopIfTrue="1">
      <formula>"(B12="""";""COACCIONES EN EXTREMOS"";"""")"</formula>
    </cfRule>
  </conditionalFormatting>
  <conditionalFormatting sqref="G83:G91">
    <cfRule type="containsText" dxfId="5" priority="22" operator="containsText" text="NO CUMPLE">
      <formula>NOT(ISERROR(SEARCH("NO CUMPLE",G83)))</formula>
    </cfRule>
    <cfRule type="containsText" dxfId="4" priority="23" operator="containsText" text="CUMPLE">
      <formula>NOT(ISERROR(SEARCH("CUMPLE",G83)))</formula>
    </cfRule>
  </conditionalFormatting>
  <conditionalFormatting sqref="G99">
    <cfRule type="expression" priority="17" stopIfTrue="1">
      <formula>"(B12="""";""COACCIONES EN EXTREMOS"";"""")"</formula>
    </cfRule>
  </conditionalFormatting>
  <conditionalFormatting sqref="K38:K42">
    <cfRule type="containsText" dxfId="3" priority="28" operator="containsText" text="NO CUMPLE">
      <formula>NOT(ISERROR(SEARCH("NO CUMPLE",K38)))</formula>
    </cfRule>
    <cfRule type="containsText" dxfId="2" priority="29" operator="containsText" text="CUMPLE">
      <formula>NOT(ISERROR(SEARCH("CUMPLE",K38)))</formula>
    </cfRule>
  </conditionalFormatting>
  <conditionalFormatting sqref="K63">
    <cfRule type="expression" priority="19" stopIfTrue="1">
      <formula>"(B12="""";""COACCIONES EN EXTREMOS"";"""")"</formula>
    </cfRule>
  </conditionalFormatting>
  <conditionalFormatting sqref="K83:K87">
    <cfRule type="containsText" dxfId="1" priority="20" operator="containsText" text="NO CUMPLE">
      <formula>NOT(ISERROR(SEARCH("NO CUMPLE",K83)))</formula>
    </cfRule>
    <cfRule type="containsText" dxfId="0" priority="21" operator="containsText" text="CUMPLE">
      <formula>NOT(ISERROR(SEARCH("CUMPLE",K83)))</formula>
    </cfRule>
  </conditionalFormatting>
  <conditionalFormatting sqref="K101">
    <cfRule type="expression" priority="16" stopIfTrue="1">
      <formula>"(B12="""";""COACCIONES EN EXTREMOS"";"""")"</formula>
    </cfRule>
  </conditionalFormatting>
  <dataValidations count="9">
    <dataValidation type="list" allowBlank="1" showInputMessage="1" showErrorMessage="1" sqref="C10 C13 C39 K14" xr:uid="{00000000-0002-0000-0000-000000000000}">
      <formula1>"SÍ,NO"</formula1>
    </dataValidation>
    <dataValidation type="list" allowBlank="1" showInputMessage="1" showErrorMessage="1" sqref="C15:D15" xr:uid="{00000000-0002-0000-0000-000001000000}">
      <formula1>"1,2,3"</formula1>
    </dataValidation>
    <dataValidation type="list" allowBlank="1" showInputMessage="1" showErrorMessage="1" sqref="B38 B83" xr:uid="{00000000-0002-0000-0000-000002000000}">
      <formula1>"NEd-COMPRESIÓN (kN),NEd-TRACCIÓN (kN)"</formula1>
    </dataValidation>
    <dataValidation type="list" allowBlank="1" showInputMessage="1" showErrorMessage="1" sqref="C50 C95" xr:uid="{00000000-0002-0000-0000-000003000000}">
      <formula1>"NO SE COMPRUEBA,SÍ"</formula1>
    </dataValidation>
    <dataValidation type="list" allowBlank="1" showInputMessage="1" showErrorMessage="1" sqref="C49" xr:uid="{00000000-0002-0000-0000-000004000000}">
      <formula1>"CASO GENERAL,DURMIENTE,SOBRE APOYOS"</formula1>
    </dataValidation>
    <dataValidation type="list" allowBlank="1" showInputMessage="1" showErrorMessage="1" sqref="C74" xr:uid="{00000000-0002-0000-0000-000005000000}">
      <formula1>"1,3,4"</formula1>
    </dataValidation>
    <dataValidation type="list" allowBlank="1" showInputMessage="1" showErrorMessage="1" sqref="C61:D62 G61:H62 C99:D100 G99:H100" xr:uid="{00000000-0002-0000-0000-000006000000}">
      <formula1>"MÉNSULA,ARTICULADO-ARTICULADO,ARTICULADO-EMPOTRADO,EMPOTRADO-EMPOTRADO,OTRO"</formula1>
    </dataValidation>
    <dataValidation type="list" allowBlank="1" showInputMessage="1" showErrorMessage="1" sqref="G53" xr:uid="{4CF98C8C-C92F-42AF-9405-DEC0452B0CA4}">
      <formula1>"FRÁGILES,ORDINARIOS,OTROS CASOS"</formula1>
    </dataValidation>
    <dataValidation type="list" allowBlank="1" showInputMessage="1" showErrorMessage="1" sqref="F47" xr:uid="{7F4CDF21-32A1-4759-A863-A34E9766DF5C}">
      <formula1>"UN LADO,DOS LADOS"</formula1>
    </dataValidation>
  </dataValidations>
  <pageMargins left="0.70866141732283472" right="0.70866141732283472" top="0.74803149606299213" bottom="0.74803149606299213" header="0.31496062992125984" footer="0.31496062992125984"/>
  <pageSetup paperSize="9" scale="39" fitToHeight="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7000000}">
          <x14:formula1>
            <xm:f>'DATOS MATERIAL'!$A$8:$A$35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M61"/>
  <sheetViews>
    <sheetView zoomScale="110" zoomScaleNormal="110" workbookViewId="0">
      <selection activeCell="G6" sqref="G6"/>
    </sheetView>
  </sheetViews>
  <sheetFormatPr baseColWidth="10" defaultRowHeight="15" x14ac:dyDescent="0.25"/>
  <cols>
    <col min="1" max="1" width="15.28515625" customWidth="1"/>
    <col min="2" max="2" width="15" customWidth="1"/>
  </cols>
  <sheetData>
    <row r="5" spans="1:13" ht="17.25" x14ac:dyDescent="0.25">
      <c r="B5" s="142" t="s">
        <v>11</v>
      </c>
      <c r="C5" s="142"/>
      <c r="D5" s="142"/>
      <c r="E5" s="142"/>
      <c r="F5" s="142"/>
      <c r="G5" s="142"/>
      <c r="H5" s="142"/>
      <c r="I5" s="142"/>
      <c r="J5" s="142"/>
      <c r="K5" s="142"/>
      <c r="L5" t="s">
        <v>12</v>
      </c>
    </row>
    <row r="6" spans="1:13" ht="18" x14ac:dyDescent="0.35">
      <c r="B6" t="s">
        <v>0</v>
      </c>
      <c r="C6" t="s">
        <v>1</v>
      </c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10</v>
      </c>
      <c r="K6" t="s">
        <v>8</v>
      </c>
      <c r="L6" t="s">
        <v>9</v>
      </c>
    </row>
    <row r="7" spans="1:13" ht="18" x14ac:dyDescent="0.35"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</row>
    <row r="8" spans="1:13" x14ac:dyDescent="0.25">
      <c r="A8" t="s">
        <v>13</v>
      </c>
      <c r="B8" s="1">
        <v>24</v>
      </c>
      <c r="C8" s="1">
        <v>16.5</v>
      </c>
      <c r="D8" s="1">
        <v>0.4</v>
      </c>
      <c r="E8" s="1">
        <v>24</v>
      </c>
      <c r="F8" s="1">
        <v>2.7</v>
      </c>
      <c r="G8" s="1">
        <v>2.7</v>
      </c>
      <c r="H8">
        <v>11600</v>
      </c>
      <c r="I8">
        <v>9400</v>
      </c>
      <c r="J8">
        <v>390</v>
      </c>
      <c r="K8">
        <v>720</v>
      </c>
      <c r="L8">
        <v>380</v>
      </c>
      <c r="M8">
        <v>380</v>
      </c>
    </row>
    <row r="9" spans="1:13" x14ac:dyDescent="0.25">
      <c r="A9" t="s">
        <v>14</v>
      </c>
      <c r="B9" s="1">
        <v>28</v>
      </c>
      <c r="C9" s="1">
        <v>19.5</v>
      </c>
      <c r="D9" s="1">
        <v>0.45</v>
      </c>
      <c r="E9" s="1">
        <v>26.5</v>
      </c>
      <c r="F9" s="1">
        <v>3</v>
      </c>
      <c r="G9" s="1">
        <v>3.2</v>
      </c>
      <c r="H9">
        <v>12600</v>
      </c>
      <c r="I9">
        <v>1020</v>
      </c>
      <c r="J9">
        <v>420</v>
      </c>
      <c r="K9">
        <v>780</v>
      </c>
      <c r="L9">
        <v>410</v>
      </c>
      <c r="M9">
        <v>410</v>
      </c>
    </row>
    <row r="10" spans="1:13" x14ac:dyDescent="0.25">
      <c r="A10" t="s">
        <v>15</v>
      </c>
      <c r="B10" s="1">
        <v>32</v>
      </c>
      <c r="C10" s="1">
        <v>22.5</v>
      </c>
      <c r="D10" s="1">
        <v>0.5</v>
      </c>
      <c r="E10" s="1">
        <v>29</v>
      </c>
      <c r="F10" s="1">
        <v>3.3</v>
      </c>
      <c r="G10" s="1">
        <v>3.8</v>
      </c>
      <c r="H10">
        <v>13700</v>
      </c>
      <c r="I10">
        <v>11100</v>
      </c>
      <c r="J10">
        <v>460</v>
      </c>
      <c r="K10">
        <v>850</v>
      </c>
      <c r="L10">
        <v>430</v>
      </c>
      <c r="M10">
        <v>430</v>
      </c>
    </row>
    <row r="11" spans="1:13" x14ac:dyDescent="0.25">
      <c r="A11" t="s">
        <v>16</v>
      </c>
      <c r="B11" s="1">
        <v>36</v>
      </c>
      <c r="C11" s="1">
        <v>26</v>
      </c>
      <c r="D11" s="1">
        <v>0.6</v>
      </c>
      <c r="E11" s="1">
        <v>31</v>
      </c>
      <c r="F11" s="1">
        <v>3.6</v>
      </c>
      <c r="G11" s="1">
        <v>4.3</v>
      </c>
      <c r="H11">
        <v>14700</v>
      </c>
      <c r="I11">
        <v>11900</v>
      </c>
      <c r="J11">
        <v>490</v>
      </c>
      <c r="K11">
        <v>910</v>
      </c>
      <c r="L11">
        <v>450</v>
      </c>
      <c r="M11">
        <v>450</v>
      </c>
    </row>
    <row r="12" spans="1:13" x14ac:dyDescent="0.25">
      <c r="A12" t="s">
        <v>17</v>
      </c>
      <c r="B12" s="1">
        <v>24</v>
      </c>
      <c r="C12" s="1">
        <v>14</v>
      </c>
      <c r="D12" s="1">
        <v>0.35</v>
      </c>
      <c r="E12" s="1">
        <v>21</v>
      </c>
      <c r="F12" s="1">
        <v>2.4</v>
      </c>
      <c r="G12" s="1">
        <v>2.2000000000000002</v>
      </c>
      <c r="H12">
        <v>11600</v>
      </c>
      <c r="I12">
        <v>9400</v>
      </c>
      <c r="J12">
        <v>320</v>
      </c>
      <c r="K12">
        <v>590</v>
      </c>
      <c r="L12">
        <v>350</v>
      </c>
      <c r="M12">
        <v>350</v>
      </c>
    </row>
    <row r="13" spans="1:13" x14ac:dyDescent="0.25">
      <c r="A13" t="s">
        <v>18</v>
      </c>
      <c r="B13" s="1">
        <v>28</v>
      </c>
      <c r="C13" s="1">
        <v>16.5</v>
      </c>
      <c r="D13" s="1">
        <v>0.4</v>
      </c>
      <c r="E13" s="1">
        <v>24</v>
      </c>
      <c r="F13" s="1">
        <v>2.7</v>
      </c>
      <c r="G13" s="1">
        <v>2.7</v>
      </c>
      <c r="H13">
        <v>12600</v>
      </c>
      <c r="I13">
        <v>10200</v>
      </c>
      <c r="J13">
        <v>390</v>
      </c>
      <c r="K13">
        <v>720</v>
      </c>
      <c r="L13">
        <v>380</v>
      </c>
      <c r="M13">
        <v>380</v>
      </c>
    </row>
    <row r="14" spans="1:13" x14ac:dyDescent="0.25">
      <c r="A14" t="s">
        <v>19</v>
      </c>
      <c r="B14" s="1">
        <v>32</v>
      </c>
      <c r="C14" s="1">
        <v>19.5</v>
      </c>
      <c r="D14" s="1">
        <v>0.45</v>
      </c>
      <c r="E14" s="1">
        <v>26.5</v>
      </c>
      <c r="F14" s="1">
        <v>3</v>
      </c>
      <c r="G14" s="1">
        <v>3.2</v>
      </c>
      <c r="H14">
        <v>13700</v>
      </c>
      <c r="I14">
        <v>11100</v>
      </c>
      <c r="J14">
        <v>420</v>
      </c>
      <c r="K14">
        <v>780</v>
      </c>
      <c r="L14">
        <v>410</v>
      </c>
      <c r="M14">
        <v>410</v>
      </c>
    </row>
    <row r="15" spans="1:13" x14ac:dyDescent="0.25">
      <c r="A15" t="s">
        <v>20</v>
      </c>
      <c r="B15" s="1">
        <v>36</v>
      </c>
      <c r="C15" s="1">
        <v>22.5</v>
      </c>
      <c r="D15" s="1">
        <v>0.5</v>
      </c>
      <c r="E15" s="1">
        <v>29</v>
      </c>
      <c r="F15" s="1">
        <v>3.3</v>
      </c>
      <c r="G15" s="1">
        <v>3.8</v>
      </c>
      <c r="H15">
        <v>14700</v>
      </c>
      <c r="I15">
        <v>11900</v>
      </c>
      <c r="J15">
        <v>460</v>
      </c>
      <c r="K15">
        <v>850</v>
      </c>
      <c r="L15">
        <v>430</v>
      </c>
      <c r="M15">
        <v>430</v>
      </c>
    </row>
    <row r="16" spans="1:13" x14ac:dyDescent="0.25">
      <c r="A16" t="s">
        <v>32</v>
      </c>
      <c r="B16" s="1">
        <v>14</v>
      </c>
      <c r="C16" s="1">
        <v>8</v>
      </c>
      <c r="D16" s="1">
        <v>0.4</v>
      </c>
      <c r="E16" s="1">
        <v>16</v>
      </c>
      <c r="F16" s="1">
        <v>2</v>
      </c>
      <c r="G16" s="1">
        <v>3</v>
      </c>
      <c r="H16">
        <v>7000</v>
      </c>
      <c r="I16">
        <v>4700</v>
      </c>
      <c r="J16">
        <v>230</v>
      </c>
      <c r="K16">
        <v>440</v>
      </c>
      <c r="L16">
        <v>290</v>
      </c>
      <c r="M16">
        <v>350</v>
      </c>
    </row>
    <row r="17" spans="1:13" x14ac:dyDescent="0.25">
      <c r="A17" t="s">
        <v>33</v>
      </c>
      <c r="B17" s="1">
        <v>16</v>
      </c>
      <c r="C17" s="1">
        <v>10</v>
      </c>
      <c r="D17" s="1">
        <v>0.4</v>
      </c>
      <c r="E17" s="1">
        <v>17</v>
      </c>
      <c r="F17" s="1">
        <v>2.2000000000000002</v>
      </c>
      <c r="G17" s="1">
        <v>3.2</v>
      </c>
      <c r="H17">
        <v>8000</v>
      </c>
      <c r="I17">
        <v>5400</v>
      </c>
      <c r="J17">
        <v>270</v>
      </c>
      <c r="K17">
        <v>500</v>
      </c>
      <c r="L17">
        <v>310</v>
      </c>
      <c r="M17">
        <v>370</v>
      </c>
    </row>
    <row r="18" spans="1:13" x14ac:dyDescent="0.25">
      <c r="A18" t="s">
        <v>34</v>
      </c>
      <c r="B18" s="1">
        <v>18</v>
      </c>
      <c r="C18" s="1">
        <v>11</v>
      </c>
      <c r="D18" s="1">
        <v>0.4</v>
      </c>
      <c r="E18" s="1">
        <v>18</v>
      </c>
      <c r="F18" s="1">
        <v>2.2000000000000002</v>
      </c>
      <c r="G18" s="1">
        <v>3.4</v>
      </c>
      <c r="H18">
        <v>9000</v>
      </c>
      <c r="I18">
        <v>6000</v>
      </c>
      <c r="J18">
        <v>300</v>
      </c>
      <c r="K18">
        <v>560</v>
      </c>
      <c r="L18">
        <v>320</v>
      </c>
      <c r="M18">
        <v>380</v>
      </c>
    </row>
    <row r="19" spans="1:13" x14ac:dyDescent="0.25">
      <c r="A19" t="s">
        <v>35</v>
      </c>
      <c r="B19" s="1">
        <v>20</v>
      </c>
      <c r="C19" s="1">
        <v>12</v>
      </c>
      <c r="D19" s="1">
        <v>0.4</v>
      </c>
      <c r="E19" s="1">
        <v>19</v>
      </c>
      <c r="F19" s="1">
        <v>2.2999999999999998</v>
      </c>
      <c r="G19" s="1">
        <v>3.6</v>
      </c>
      <c r="H19">
        <v>9500</v>
      </c>
      <c r="I19">
        <v>6400</v>
      </c>
      <c r="J19">
        <v>320</v>
      </c>
      <c r="K19">
        <v>590</v>
      </c>
      <c r="L19">
        <v>330</v>
      </c>
      <c r="M19">
        <v>390</v>
      </c>
    </row>
    <row r="20" spans="1:13" x14ac:dyDescent="0.25">
      <c r="A20" t="s">
        <v>36</v>
      </c>
      <c r="B20" s="1">
        <v>22</v>
      </c>
      <c r="C20" s="1">
        <v>13</v>
      </c>
      <c r="D20" s="1">
        <v>0.4</v>
      </c>
      <c r="E20" s="1">
        <v>20</v>
      </c>
      <c r="F20" s="1">
        <v>2.4</v>
      </c>
      <c r="G20" s="1">
        <v>3.8</v>
      </c>
      <c r="H20">
        <v>10000</v>
      </c>
      <c r="I20">
        <v>6700</v>
      </c>
      <c r="J20">
        <v>330</v>
      </c>
      <c r="K20">
        <v>630</v>
      </c>
      <c r="L20">
        <v>340</v>
      </c>
      <c r="M20">
        <v>410</v>
      </c>
    </row>
    <row r="21" spans="1:13" x14ac:dyDescent="0.25">
      <c r="A21" t="s">
        <v>37</v>
      </c>
      <c r="B21" s="1">
        <v>24</v>
      </c>
      <c r="C21" s="1">
        <v>14</v>
      </c>
      <c r="D21" s="1">
        <v>0.4</v>
      </c>
      <c r="E21" s="1">
        <v>22</v>
      </c>
      <c r="F21" s="1">
        <v>2.5</v>
      </c>
      <c r="G21" s="1">
        <v>4</v>
      </c>
      <c r="H21">
        <v>11000</v>
      </c>
      <c r="I21">
        <v>7400</v>
      </c>
      <c r="J21">
        <v>370</v>
      </c>
      <c r="K21">
        <v>690</v>
      </c>
      <c r="L21">
        <v>350</v>
      </c>
      <c r="M21">
        <v>420</v>
      </c>
    </row>
    <row r="22" spans="1:13" x14ac:dyDescent="0.25">
      <c r="A22" t="s">
        <v>38</v>
      </c>
      <c r="B22" s="1">
        <v>27</v>
      </c>
      <c r="C22" s="1">
        <v>16</v>
      </c>
      <c r="D22" s="1">
        <v>0.4</v>
      </c>
      <c r="E22" s="1">
        <v>22</v>
      </c>
      <c r="F22" s="1">
        <v>2.6</v>
      </c>
      <c r="G22" s="1">
        <v>4</v>
      </c>
      <c r="H22">
        <v>11500</v>
      </c>
      <c r="I22">
        <v>7700</v>
      </c>
      <c r="J22">
        <v>380</v>
      </c>
      <c r="K22">
        <v>720</v>
      </c>
      <c r="L22">
        <v>370</v>
      </c>
      <c r="M22">
        <v>450</v>
      </c>
    </row>
    <row r="23" spans="1:13" x14ac:dyDescent="0.25">
      <c r="A23" t="s">
        <v>39</v>
      </c>
      <c r="B23" s="1">
        <v>30</v>
      </c>
      <c r="C23" s="1">
        <v>18</v>
      </c>
      <c r="D23" s="1">
        <v>0.4</v>
      </c>
      <c r="E23" s="1">
        <v>23</v>
      </c>
      <c r="F23" s="1">
        <v>2.7</v>
      </c>
      <c r="G23" s="1">
        <v>4</v>
      </c>
      <c r="H23">
        <v>12000</v>
      </c>
      <c r="I23">
        <v>8000</v>
      </c>
      <c r="J23">
        <v>400</v>
      </c>
      <c r="K23">
        <v>750</v>
      </c>
      <c r="L23">
        <v>380</v>
      </c>
      <c r="M23">
        <v>460</v>
      </c>
    </row>
    <row r="24" spans="1:13" x14ac:dyDescent="0.25">
      <c r="A24" t="s">
        <v>40</v>
      </c>
      <c r="B24" s="1">
        <v>35</v>
      </c>
      <c r="C24" s="1">
        <v>21</v>
      </c>
      <c r="D24" s="1">
        <v>0.4</v>
      </c>
      <c r="E24" s="1">
        <v>25</v>
      </c>
      <c r="F24" s="1">
        <v>2.8</v>
      </c>
      <c r="G24" s="1">
        <v>4</v>
      </c>
      <c r="H24">
        <v>13000</v>
      </c>
      <c r="I24">
        <v>8700</v>
      </c>
      <c r="J24">
        <v>430</v>
      </c>
      <c r="K24">
        <v>810</v>
      </c>
      <c r="L24">
        <v>400</v>
      </c>
      <c r="M24">
        <v>480</v>
      </c>
    </row>
    <row r="25" spans="1:13" x14ac:dyDescent="0.25">
      <c r="A25" t="s">
        <v>41</v>
      </c>
      <c r="B25" s="1">
        <v>40</v>
      </c>
      <c r="C25" s="1">
        <v>24</v>
      </c>
      <c r="D25" s="1">
        <v>0.4</v>
      </c>
      <c r="E25" s="1">
        <v>26</v>
      </c>
      <c r="F25" s="1">
        <v>2.9</v>
      </c>
      <c r="G25" s="1">
        <v>4</v>
      </c>
      <c r="H25">
        <v>14000</v>
      </c>
      <c r="I25">
        <v>9400</v>
      </c>
      <c r="J25">
        <v>470</v>
      </c>
      <c r="K25">
        <v>880</v>
      </c>
      <c r="L25">
        <v>420</v>
      </c>
      <c r="M25">
        <v>500</v>
      </c>
    </row>
    <row r="26" spans="1:13" x14ac:dyDescent="0.25">
      <c r="A26" t="s">
        <v>42</v>
      </c>
      <c r="B26" s="1">
        <v>45</v>
      </c>
      <c r="C26" s="1">
        <v>27</v>
      </c>
      <c r="D26" s="1">
        <v>0.4</v>
      </c>
      <c r="E26" s="1">
        <v>27</v>
      </c>
      <c r="F26" s="1">
        <v>3.1</v>
      </c>
      <c r="G26" s="1">
        <v>4</v>
      </c>
      <c r="H26">
        <v>15000</v>
      </c>
      <c r="I26">
        <v>10000</v>
      </c>
      <c r="J26">
        <v>500</v>
      </c>
      <c r="K26">
        <v>940</v>
      </c>
      <c r="L26">
        <v>440</v>
      </c>
      <c r="M26">
        <v>520</v>
      </c>
    </row>
    <row r="27" spans="1:13" x14ac:dyDescent="0.25">
      <c r="A27" t="s">
        <v>43</v>
      </c>
      <c r="B27" s="1">
        <v>50</v>
      </c>
      <c r="C27" s="1">
        <v>30</v>
      </c>
      <c r="D27" s="1">
        <v>0.4</v>
      </c>
      <c r="E27" s="1">
        <v>29</v>
      </c>
      <c r="F27" s="1">
        <v>3.2</v>
      </c>
      <c r="G27" s="1">
        <v>4</v>
      </c>
      <c r="H27">
        <v>16000</v>
      </c>
      <c r="I27">
        <v>10700</v>
      </c>
      <c r="J27">
        <v>530</v>
      </c>
      <c r="K27">
        <v>100</v>
      </c>
      <c r="L27">
        <v>460</v>
      </c>
      <c r="M27">
        <v>550</v>
      </c>
    </row>
    <row r="28" spans="1:13" x14ac:dyDescent="0.25">
      <c r="A28" t="s">
        <v>44</v>
      </c>
      <c r="B28" s="1">
        <v>18</v>
      </c>
      <c r="C28" s="1">
        <v>11</v>
      </c>
      <c r="D28" s="1">
        <v>0.6</v>
      </c>
      <c r="E28" s="1">
        <v>18</v>
      </c>
      <c r="F28" s="1">
        <v>7.5</v>
      </c>
      <c r="G28" s="1">
        <v>3.4</v>
      </c>
      <c r="H28">
        <v>10000</v>
      </c>
      <c r="I28">
        <v>8400</v>
      </c>
      <c r="J28">
        <v>670</v>
      </c>
      <c r="K28">
        <v>630</v>
      </c>
      <c r="L28">
        <v>500</v>
      </c>
      <c r="M28">
        <v>610</v>
      </c>
    </row>
    <row r="29" spans="1:13" x14ac:dyDescent="0.25">
      <c r="A29" t="s">
        <v>45</v>
      </c>
      <c r="B29" s="1">
        <v>24</v>
      </c>
      <c r="C29" s="1">
        <v>14</v>
      </c>
      <c r="D29" s="1">
        <v>0.6</v>
      </c>
      <c r="E29" s="1">
        <v>21</v>
      </c>
      <c r="F29" s="1">
        <v>7.8</v>
      </c>
      <c r="G29" s="1">
        <v>4</v>
      </c>
      <c r="H29">
        <v>11000</v>
      </c>
      <c r="I29">
        <v>9200</v>
      </c>
      <c r="J29">
        <v>730</v>
      </c>
      <c r="K29">
        <v>690</v>
      </c>
      <c r="L29">
        <v>520</v>
      </c>
      <c r="M29">
        <v>630</v>
      </c>
    </row>
    <row r="30" spans="1:13" x14ac:dyDescent="0.25">
      <c r="A30" t="s">
        <v>46</v>
      </c>
      <c r="B30" s="1">
        <v>30</v>
      </c>
      <c r="C30" s="1">
        <v>18</v>
      </c>
      <c r="D30" s="1">
        <v>0.6</v>
      </c>
      <c r="E30" s="1">
        <v>23</v>
      </c>
      <c r="F30" s="1">
        <v>8</v>
      </c>
      <c r="G30" s="1">
        <v>4</v>
      </c>
      <c r="H30">
        <v>12000</v>
      </c>
      <c r="I30">
        <v>10100</v>
      </c>
      <c r="J30">
        <v>800</v>
      </c>
      <c r="K30">
        <v>750</v>
      </c>
      <c r="L30">
        <v>530</v>
      </c>
      <c r="M30">
        <v>640</v>
      </c>
    </row>
    <row r="31" spans="1:13" x14ac:dyDescent="0.25">
      <c r="A31" t="s">
        <v>47</v>
      </c>
      <c r="B31" s="1">
        <v>35</v>
      </c>
      <c r="C31" s="1">
        <v>21</v>
      </c>
      <c r="D31" s="1">
        <v>0.6</v>
      </c>
      <c r="E31" s="1">
        <v>25</v>
      </c>
      <c r="F31" s="1">
        <v>8.1</v>
      </c>
      <c r="G31" s="1">
        <v>4</v>
      </c>
      <c r="H31">
        <v>12000</v>
      </c>
      <c r="I31">
        <v>10100</v>
      </c>
      <c r="J31">
        <v>800</v>
      </c>
      <c r="K31">
        <v>750</v>
      </c>
      <c r="L31">
        <v>540</v>
      </c>
      <c r="M31">
        <v>650</v>
      </c>
    </row>
    <row r="32" spans="1:13" x14ac:dyDescent="0.25">
      <c r="A32" t="s">
        <v>48</v>
      </c>
      <c r="B32" s="1">
        <v>40</v>
      </c>
      <c r="C32" s="1">
        <v>24</v>
      </c>
      <c r="D32" s="1">
        <v>0.6</v>
      </c>
      <c r="E32" s="1">
        <v>26</v>
      </c>
      <c r="F32" s="1">
        <v>8.3000000000000007</v>
      </c>
      <c r="G32" s="1">
        <v>4</v>
      </c>
      <c r="H32">
        <v>13000</v>
      </c>
      <c r="I32">
        <v>10900</v>
      </c>
      <c r="J32">
        <v>860</v>
      </c>
      <c r="K32">
        <v>810</v>
      </c>
      <c r="L32">
        <v>550</v>
      </c>
      <c r="M32">
        <v>660</v>
      </c>
    </row>
    <row r="33" spans="1:13" x14ac:dyDescent="0.25">
      <c r="A33" t="s">
        <v>49</v>
      </c>
      <c r="B33" s="1">
        <v>50</v>
      </c>
      <c r="C33" s="1">
        <v>30</v>
      </c>
      <c r="D33" s="1">
        <v>0.6</v>
      </c>
      <c r="E33" s="1">
        <v>29</v>
      </c>
      <c r="F33" s="1">
        <v>9</v>
      </c>
      <c r="G33" s="1">
        <v>4</v>
      </c>
      <c r="H33">
        <v>14000</v>
      </c>
      <c r="I33">
        <v>11800</v>
      </c>
      <c r="J33">
        <v>930</v>
      </c>
      <c r="K33">
        <v>880</v>
      </c>
      <c r="L33">
        <v>620</v>
      </c>
      <c r="M33">
        <v>750</v>
      </c>
    </row>
    <row r="34" spans="1:13" x14ac:dyDescent="0.25">
      <c r="A34" t="s">
        <v>50</v>
      </c>
      <c r="B34" s="1">
        <v>60</v>
      </c>
      <c r="C34" s="1">
        <v>36</v>
      </c>
      <c r="D34" s="1">
        <v>0.6</v>
      </c>
      <c r="E34" s="1">
        <v>32</v>
      </c>
      <c r="F34" s="1">
        <v>10.5</v>
      </c>
      <c r="G34" s="1">
        <v>4</v>
      </c>
      <c r="H34">
        <v>17000</v>
      </c>
      <c r="I34">
        <v>14300</v>
      </c>
      <c r="J34">
        <v>1130</v>
      </c>
      <c r="K34">
        <v>1060</v>
      </c>
      <c r="L34">
        <v>700</v>
      </c>
      <c r="M34">
        <v>840</v>
      </c>
    </row>
    <row r="35" spans="1:13" x14ac:dyDescent="0.25">
      <c r="A35" t="s">
        <v>51</v>
      </c>
      <c r="B35" s="1">
        <v>70</v>
      </c>
      <c r="C35" s="1">
        <v>42</v>
      </c>
      <c r="D35" s="1">
        <v>0.6</v>
      </c>
      <c r="E35" s="1">
        <v>34</v>
      </c>
      <c r="F35" s="1">
        <v>13.5</v>
      </c>
      <c r="G35" s="1">
        <v>4</v>
      </c>
      <c r="H35">
        <v>20000</v>
      </c>
      <c r="I35">
        <v>16800</v>
      </c>
      <c r="J35">
        <v>1330</v>
      </c>
      <c r="K35">
        <v>1250</v>
      </c>
      <c r="L35">
        <v>900</v>
      </c>
      <c r="M35">
        <v>1080</v>
      </c>
    </row>
    <row r="38" spans="1:13" x14ac:dyDescent="0.25">
      <c r="C38" t="s">
        <v>79</v>
      </c>
      <c r="D38" t="s">
        <v>80</v>
      </c>
    </row>
    <row r="39" spans="1:13" x14ac:dyDescent="0.25">
      <c r="B39" t="s">
        <v>64</v>
      </c>
      <c r="C39">
        <v>0.6</v>
      </c>
      <c r="D39">
        <v>0.6</v>
      </c>
    </row>
    <row r="40" spans="1:13" x14ac:dyDescent="0.25">
      <c r="B40" t="s">
        <v>65</v>
      </c>
      <c r="C40">
        <v>0.6</v>
      </c>
      <c r="D40">
        <v>0.6</v>
      </c>
    </row>
    <row r="41" spans="1:13" x14ac:dyDescent="0.25">
      <c r="B41" t="s">
        <v>66</v>
      </c>
      <c r="C41">
        <v>0.5</v>
      </c>
      <c r="D41">
        <v>0.5</v>
      </c>
    </row>
    <row r="42" spans="1:13" x14ac:dyDescent="0.25">
      <c r="B42" t="s">
        <v>67</v>
      </c>
      <c r="C42">
        <v>0.7</v>
      </c>
      <c r="D42">
        <v>0.7</v>
      </c>
    </row>
    <row r="43" spans="1:13" x14ac:dyDescent="0.25">
      <c r="B43" t="s">
        <v>68</v>
      </c>
      <c r="C43">
        <v>0.7</v>
      </c>
      <c r="D43">
        <v>0.7</v>
      </c>
    </row>
    <row r="44" spans="1:13" x14ac:dyDescent="0.25">
      <c r="B44" t="s">
        <v>69</v>
      </c>
      <c r="C44">
        <v>0.55000000000000004</v>
      </c>
      <c r="D44">
        <v>0.55000000000000004</v>
      </c>
    </row>
    <row r="45" spans="1:13" x14ac:dyDescent="0.25">
      <c r="B45" t="s">
        <v>70</v>
      </c>
      <c r="C45">
        <v>0.8</v>
      </c>
      <c r="D45">
        <v>0.8</v>
      </c>
    </row>
    <row r="46" spans="1:13" x14ac:dyDescent="0.25">
      <c r="B46" t="s">
        <v>71</v>
      </c>
      <c r="C46">
        <v>0.8</v>
      </c>
      <c r="D46">
        <v>0.8</v>
      </c>
    </row>
    <row r="47" spans="1:13" x14ac:dyDescent="0.25">
      <c r="B47" t="s">
        <v>72</v>
      </c>
      <c r="C47">
        <v>0.65</v>
      </c>
      <c r="D47">
        <v>0.65</v>
      </c>
    </row>
    <row r="48" spans="1:13" x14ac:dyDescent="0.25">
      <c r="B48" t="s">
        <v>73</v>
      </c>
      <c r="C48">
        <v>0.9</v>
      </c>
      <c r="D48">
        <v>0.9</v>
      </c>
    </row>
    <row r="49" spans="1:4" x14ac:dyDescent="0.25">
      <c r="B49" t="s">
        <v>74</v>
      </c>
      <c r="C49">
        <v>0.9</v>
      </c>
      <c r="D49">
        <v>0.9</v>
      </c>
    </row>
    <row r="50" spans="1:4" x14ac:dyDescent="0.25">
      <c r="B50" t="s">
        <v>75</v>
      </c>
      <c r="C50">
        <v>0.7</v>
      </c>
      <c r="D50">
        <v>0.7</v>
      </c>
    </row>
    <row r="51" spans="1:4" x14ac:dyDescent="0.25">
      <c r="B51" t="s">
        <v>76</v>
      </c>
      <c r="C51">
        <v>1.1000000000000001</v>
      </c>
      <c r="D51">
        <v>1.1000000000000001</v>
      </c>
    </row>
    <row r="52" spans="1:4" x14ac:dyDescent="0.25">
      <c r="B52" t="s">
        <v>78</v>
      </c>
      <c r="C52">
        <v>1.1000000000000001</v>
      </c>
      <c r="D52">
        <v>1.1000000000000001</v>
      </c>
    </row>
    <row r="53" spans="1:4" x14ac:dyDescent="0.25">
      <c r="B53" t="s">
        <v>77</v>
      </c>
      <c r="C53">
        <v>0.9</v>
      </c>
      <c r="D53">
        <v>0.9</v>
      </c>
    </row>
    <row r="57" spans="1:4" x14ac:dyDescent="0.25">
      <c r="A57" t="s">
        <v>55</v>
      </c>
    </row>
    <row r="58" spans="1:4" x14ac:dyDescent="0.25">
      <c r="A58" t="s">
        <v>56</v>
      </c>
    </row>
    <row r="59" spans="1:4" x14ac:dyDescent="0.25">
      <c r="A59" t="s">
        <v>57</v>
      </c>
    </row>
    <row r="60" spans="1:4" x14ac:dyDescent="0.25">
      <c r="A60" t="s">
        <v>58</v>
      </c>
    </row>
    <row r="61" spans="1:4" x14ac:dyDescent="0.25">
      <c r="A61" t="s">
        <v>59</v>
      </c>
    </row>
  </sheetData>
  <sheetProtection sheet="1" objects="1" scenarios="1" selectLockedCells="1" selectUnlockedCells="1"/>
  <mergeCells count="1">
    <mergeCell ref="B5:K5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COMPROBACIÓN</vt:lpstr>
      <vt:lpstr>DATOS MATERIAL</vt:lpstr>
      <vt:lpstr>COMPROBACIÓN!Área_de_impresión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</dc:creator>
  <cp:lastModifiedBy>ALEJANDRO CALLE GARCIA</cp:lastModifiedBy>
  <cp:lastPrinted>2022-07-27T18:26:52Z</cp:lastPrinted>
  <dcterms:created xsi:type="dcterms:W3CDTF">2020-04-23T07:43:03Z</dcterms:created>
  <dcterms:modified xsi:type="dcterms:W3CDTF">2025-09-05T10:48:16Z</dcterms:modified>
</cp:coreProperties>
</file>